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D:\1-App APU\web_apu_v2\"/>
    </mc:Choice>
  </mc:AlternateContent>
  <xr:revisionPtr revIDLastSave="0" documentId="13_ncr:1_{0A862401-4F14-4A8C-8E2D-F84C1C4E4252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PRESUPUESTO DETALLADO,COMPLETO" sheetId="6" r:id="rId1"/>
    <sheet name="Hoja1" sheetId="2" state="hidden" r:id="rId2"/>
  </sheets>
  <externalReferences>
    <externalReference r:id="rId3"/>
    <externalReference r:id="rId4"/>
  </externalReferences>
  <definedNames>
    <definedName name="_Toc105599887" localSheetId="0">'PRESUPUESTO DETALLADO,COMPLETO'!$C$385</definedName>
    <definedName name="_Toc105599888" localSheetId="0">'PRESUPUESTO DETALLADO,COMPLETO'!#REF!</definedName>
    <definedName name="_Toc105599889" localSheetId="0">'PRESUPUESTO DETALLADO,COMPLETO'!#REF!</definedName>
    <definedName name="_Toc125356054" localSheetId="0">'PRESUPUESTO DETALLADO,COMPLETO'!#REF!</definedName>
    <definedName name="_Toc133327147" localSheetId="0">'PRESUPUESTO DETALLADO,COMPLETO'!#REF!</definedName>
    <definedName name="_Toc133327179" localSheetId="0">'PRESUPUESTO DETALLADO,COMPLETO'!$D$142</definedName>
    <definedName name="_Toc154474896" localSheetId="0">'PRESUPUESTO DETALLADO,COMPLETO'!#REF!</definedName>
    <definedName name="_Toc154474897" localSheetId="0">'PRESUPUESTO DETALLADO,COMPLETO'!#REF!</definedName>
    <definedName name="año_compra_term_1">#REF!</definedName>
    <definedName name="año_compra_term_2">#REF!</definedName>
    <definedName name="año_compra_term_3">#REF!</definedName>
    <definedName name="año_compra_term_4">#REF!</definedName>
    <definedName name="año_compra_term_5">#REF!</definedName>
    <definedName name="año_compra_term_6">#REF!</definedName>
    <definedName name="año_compra_term_7">#REF!</definedName>
    <definedName name="año_compra_term_8">#REF!</definedName>
    <definedName name="año_compra_term_9">#REF!</definedName>
    <definedName name="_xlnm.Print_Area" localSheetId="0">'PRESUPUESTO DETALLADO,COMPLETO'!$B$2:$H$478</definedName>
    <definedName name="aux">#REF!,#REF!,#REF!,#REF!</definedName>
    <definedName name="carga_lavadora">#REF!</definedName>
    <definedName name="comunas">#REF!</definedName>
    <definedName name="empalme_cocina">#REF!</definedName>
    <definedName name="empalme_secadora">#REF!</definedName>
    <definedName name="empalme_term_1">#REF!</definedName>
    <definedName name="empalme_term_2">#REF!</definedName>
    <definedName name="empalme_term_3">#REF!</definedName>
    <definedName name="empalme_term_4">#REF!</definedName>
    <definedName name="empalme_term_5">#REF!</definedName>
    <definedName name="empalme_term_6">#REF!</definedName>
    <definedName name="empalme_term_7">#REF!</definedName>
    <definedName name="empalme_term_8">#REF!</definedName>
    <definedName name="empalme_term_9">#REF!</definedName>
    <definedName name="empalmes">#REF!</definedName>
    <definedName name="ener_secadora">#REF!</definedName>
    <definedName name="Estado">[1]!Tabla1[Estado]</definedName>
    <definedName name="filtro_cap_ele_1" localSheetId="0">IF(ISERROR(INDIRECT("tipo_" &amp; tec_ele_1 &amp; "_" &amp; tipo_ele_1 &amp; "_" &amp; subtipo_ele_1)),"NA",INDIRECT("tipo_" &amp; tec_ele_1 &amp; "_" &amp; tipo_ele_1 &amp; "_" &amp; subtipo_ele_1))</definedName>
    <definedName name="filtro_cap_ele_1">IF(ISERROR(INDIRECT("tipo_" &amp; tec_ele_1 &amp; "_" &amp; tipo_ele_1 &amp; "_" &amp; subtipo_ele_1)),"NA",INDIRECT("tipo_" &amp; tec_ele_1 &amp; "_" &amp; tipo_ele_1 &amp; "_" &amp; subtipo_ele_1))</definedName>
    <definedName name="filtro_comunas" localSheetId="0">INDEX([0]!comunas,MATCH(region,[0]!regiones_comunas,0),1) :INDEX([0]!comunas,MATCH(region,[0]!regiones_comunas,1),1)</definedName>
    <definedName name="filtro_comunas">INDEX(comunas,MATCH(region,regiones_comunas,0),1) :INDEX(comunas,MATCH(region,regiones_comunas,1),1)</definedName>
    <definedName name="filtro_usos_ilum" localSheetId="0">INDEX([0]!tbl_usos_ilum,MATCH(uso_edificio,[0]!tbl_tipos_ilum,0),1):INDEX([0]!tbl_usos_ilum,MATCH(uso_edificio,[0]!tbl_tipos_ilum,1),1)</definedName>
    <definedName name="filtro_usos_ilum">INDEX(tbl_usos_ilum,MATCH(uso_edificio,tbl_tipos_ilum,0),1):INDEX(tbl_usos_ilum,MATCH(uso_edificio,tbl_tipos_ilum,1),1)</definedName>
    <definedName name="filtro_usos_vent" localSheetId="0">INDEX([0]!tbl_usos_vent,MATCH(uso_edificio,[0]!tbl_tipos_vent,0),1):INDEX([0]!tbl_usos_vent,MATCH(uso_edificio,[0]!tbl_tipos_vent,1),1)</definedName>
    <definedName name="filtro_usos_vent">INDEX(tbl_usos_vent,MATCH(uso_edificio,tbl_tipos_vent,0),1):INDEX(tbl_usos_vent,MATCH(uso_edificio,tbl_tipos_vent,1),1)</definedName>
    <definedName name="fuente_term_1">#REF!</definedName>
    <definedName name="fuente_term_2">#REF!</definedName>
    <definedName name="fuente_term_3">#REF!</definedName>
    <definedName name="fuente_term_4">#REF!</definedName>
    <definedName name="fuente_term_5">#REF!</definedName>
    <definedName name="fuente_term_6">#REF!</definedName>
    <definedName name="fuente_term_7">#REF!</definedName>
    <definedName name="fuente_term_8">#REF!</definedName>
    <definedName name="fuente_term_9">#REF!</definedName>
    <definedName name="id_sist_duchas">#REF!</definedName>
    <definedName name="id_sist_lavadoras">#REF!</definedName>
    <definedName name="id_sist_lavaplatos">#REF!</definedName>
    <definedName name="l_empalmes">#REF!</definedName>
    <definedName name="l_tipos_luminaria">#REF!</definedName>
    <definedName name="marca_term_1">#REF!</definedName>
    <definedName name="marca_term_2">#REF!</definedName>
    <definedName name="marca_term_3">#REF!</definedName>
    <definedName name="marca_term_4">#REF!</definedName>
    <definedName name="marca_term_5">#REF!</definedName>
    <definedName name="marca_term_6">#REF!</definedName>
    <definedName name="marca_term_7">#REF!</definedName>
    <definedName name="marca_term_8">#REF!</definedName>
    <definedName name="marca_term_9">#REF!</definedName>
    <definedName name="MARGEN">#REF!</definedName>
    <definedName name="modelo_term_1">#REF!</definedName>
    <definedName name="modelo_term_2">#REF!</definedName>
    <definedName name="modelo_term_3">#REF!</definedName>
    <definedName name="modelo_term_4">#REF!</definedName>
    <definedName name="modelo_term_5">#REF!</definedName>
    <definedName name="modelo_term_6">#REF!</definedName>
    <definedName name="modelo_term_7">#REF!</definedName>
    <definedName name="modelo_term_8">#REF!</definedName>
    <definedName name="modelo_term_9">#REF!</definedName>
    <definedName name="n_cargas_diarias_secadoras">#REF!</definedName>
    <definedName name="n_cargas_ropa">#REF!</definedName>
    <definedName name="n_comidas_dia">#REF!</definedName>
    <definedName name="n_comidas_diarias">#REF!</definedName>
    <definedName name="n_dias_cocina">#REF!</definedName>
    <definedName name="n_duchas_diarias">#REF!</definedName>
    <definedName name="n_duchas_simult">#REF!</definedName>
    <definedName name="n_encimeras">#REF!</definedName>
    <definedName name="n_equipos_term_1">#REF!</definedName>
    <definedName name="n_equipos_term_2">#REF!</definedName>
    <definedName name="n_equipos_term_3">#REF!</definedName>
    <definedName name="n_equipos_term_4">#REF!</definedName>
    <definedName name="n_equipos_term_5">#REF!</definedName>
    <definedName name="n_equipos_term_6">#REF!</definedName>
    <definedName name="n_equipos_term_7">#REF!</definedName>
    <definedName name="n_equipos_term_8">#REF!</definedName>
    <definedName name="n_equipos_term_9">#REF!</definedName>
    <definedName name="n_horas_cocina">#REF!</definedName>
    <definedName name="n_horas_secadora">#REF!</definedName>
    <definedName name="n_lavadoras_simult">#REF!</definedName>
    <definedName name="n_lavaplatos_simult">#REF!</definedName>
    <definedName name="n_meses_cocina">#REF!</definedName>
    <definedName name="n_meses_secadora">#REF!</definedName>
    <definedName name="n_secadoras_simult">#REF!</definedName>
    <definedName name="n_semanas_secadora">#REF!</definedName>
    <definedName name="nom_term_1">#REF!</definedName>
    <definedName name="nom_term_2">#REF!</definedName>
    <definedName name="nom_term_3">#REF!</definedName>
    <definedName name="nom_term_4">#REF!</definedName>
    <definedName name="nom_term_5">#REF!</definedName>
    <definedName name="nom_term_6">#REF!</definedName>
    <definedName name="nom_term_7">#REF!</definedName>
    <definedName name="nom_term_8">#REF!</definedName>
    <definedName name="nom_term_9">#REF!</definedName>
    <definedName name="peso_carga_secadora">#REF!</definedName>
    <definedName name="PLUS">'[2]ECOSTO-RBD 9610'!$G$2</definedName>
    <definedName name="pot_media_secadora">#REF!</definedName>
    <definedName name="potencia_calor_term_1">#REF!</definedName>
    <definedName name="potencia_calor_term_2">#REF!</definedName>
    <definedName name="potencia_calor_term_3">#REF!</definedName>
    <definedName name="potencia_calor_term_4">#REF!</definedName>
    <definedName name="potencia_calor_term_5">#REF!</definedName>
    <definedName name="potencia_calor_term_6">#REF!</definedName>
    <definedName name="potencia_calor_term_7">#REF!</definedName>
    <definedName name="potencia_calor_term_8">#REF!</definedName>
    <definedName name="potencia_calor_term_9">#REF!</definedName>
    <definedName name="potencia_frio_term_1">#REF!</definedName>
    <definedName name="potencia_frio_term_2">#REF!</definedName>
    <definedName name="potencia_frio_term_3">#REF!</definedName>
    <definedName name="potencia_frio_term_4">#REF!</definedName>
    <definedName name="potencia_frio_term_5">#REF!</definedName>
    <definedName name="potencia_frio_term_6">#REF!</definedName>
    <definedName name="potencia_frio_term_7">#REF!</definedName>
    <definedName name="potencia_frio_term_8">#REF!</definedName>
    <definedName name="potencia_frio_term_9">#REF!</definedName>
    <definedName name="regiones">#REF!</definedName>
    <definedName name="regiones_comunas">#REF!</definedName>
    <definedName name="sel_acceso_cubierta">#REF!</definedName>
    <definedName name="sel_agrupamiento">#REF!</definedName>
    <definedName name="sel_ais_muros">#REF!</definedName>
    <definedName name="sel_cerchas">#REF!</definedName>
    <definedName name="sel_cond_borde">#REF!</definedName>
    <definedName name="sel_distr_term">#REF!</definedName>
    <definedName name="sel_duchas">#REF!</definedName>
    <definedName name="sel_ener_termico">#REF!</definedName>
    <definedName name="sel_entorno">#REF!</definedName>
    <definedName name="sel_est_muros">#REF!</definedName>
    <definedName name="sel_estado_cerchas">#REF!</definedName>
    <definedName name="sel_inercia">#REF!</definedName>
    <definedName name="sel_lavaplatos">#REF!</definedName>
    <definedName name="sel_mat_piso">#REF!</definedName>
    <definedName name="sel_materiales">#REF!</definedName>
    <definedName name="sel_propiedad">#REF!</definedName>
    <definedName name="sel_puertas">#REF!</definedName>
    <definedName name="sel_sino">#REF!</definedName>
    <definedName name="sel_tejado">#REF!</definedName>
    <definedName name="sel_tipo_cimientos">#REF!</definedName>
    <definedName name="sel_tipo_control">#REF!</definedName>
    <definedName name="sel_tipo_ele">#REF!</definedName>
    <definedName name="sel_tipos_cocina">#REF!</definedName>
    <definedName name="sel_ventanas">#REF!</definedName>
    <definedName name="sel_zona_termica">#REF!</definedName>
    <definedName name="t_agua_duchas">#REF!</definedName>
    <definedName name="t_agua_lavadoras">#REF!</definedName>
    <definedName name="t_agua_lavaplatos">#REF!</definedName>
    <definedName name="t_ener_tec">#REF!</definedName>
    <definedName name="t_medio_lavadoras">#REF!</definedName>
    <definedName name="t_medio_lavaplatos">#REF!</definedName>
    <definedName name="t_medio_secadoras">#REF!</definedName>
    <definedName name="t_usos_edif">#REF!</definedName>
    <definedName name="tbl_tipos_ilum">#REF!</definedName>
    <definedName name="tbl_tipos_vent">#REF!</definedName>
    <definedName name="tbl_usos_ilum">#REF!</definedName>
    <definedName name="tbl_usos_vent">#REF!</definedName>
    <definedName name="tecnologia_term_1">#REF!</definedName>
    <definedName name="tecnologia_term_2">#REF!</definedName>
    <definedName name="tecnologia_term_3">#REF!</definedName>
    <definedName name="tecnologia_term_4">#REF!</definedName>
    <definedName name="tecnologia_term_5">#REF!</definedName>
    <definedName name="tecnologia_term_6">#REF!</definedName>
    <definedName name="tecnologia_term_7">#REF!</definedName>
    <definedName name="tecnologia_term_8">#REF!</definedName>
    <definedName name="tecnologia_term_9">#REF!</definedName>
    <definedName name="temp_imp_term_1">#REF!</definedName>
    <definedName name="temp_imp_term_2">#REF!</definedName>
    <definedName name="temp_imp_term_3">#REF!</definedName>
    <definedName name="temp_imp_term_4">#REF!</definedName>
    <definedName name="temp_imp_term_5">#REF!</definedName>
    <definedName name="temp_imp_term_6">#REF!</definedName>
    <definedName name="temp_imp_term_7">#REF!</definedName>
    <definedName name="temp_imp_term_8">#REF!</definedName>
    <definedName name="temp_imp_term_9">#REF!</definedName>
    <definedName name="temp_ret_term_1">#REF!</definedName>
    <definedName name="temp_ret_term_2">#REF!</definedName>
    <definedName name="temp_ret_term_3">#REF!</definedName>
    <definedName name="temp_ret_term_4">#REF!</definedName>
    <definedName name="temp_ret_term_5">#REF!</definedName>
    <definedName name="temp_ret_term_6">#REF!</definedName>
    <definedName name="temp_ret_term_7">#REF!</definedName>
    <definedName name="temp_ret_term_8">#REF!</definedName>
    <definedName name="temp_ret_term_9">#REF!</definedName>
    <definedName name="tipo_cocina">#REF!</definedName>
    <definedName name="tipo_control_term_1">#REF!</definedName>
    <definedName name="tipo_control_term_2">#REF!</definedName>
    <definedName name="tipo_control_term_3">#REF!</definedName>
    <definedName name="tipo_control_term_4">#REF!</definedName>
    <definedName name="tipo_control_term_5">#REF!</definedName>
    <definedName name="tipo_control_term_6">#REF!</definedName>
    <definedName name="tipo_control_term_7">#REF!</definedName>
    <definedName name="tipo_control_term_8">#REF!</definedName>
    <definedName name="tipo_control_term_9">#REF!</definedName>
    <definedName name="tipo_duchas">#REF!</definedName>
    <definedName name="tipo_lavaplatos">#REF!</definedName>
    <definedName name="tipos_Aspiradora">#REF!</definedName>
    <definedName name="tipos_Aspiradora_Estandar">#REF!</definedName>
    <definedName name="tipos_Aspiradora_Estandar_NA">#REF!</definedName>
    <definedName name="tipos_Bomba_de_Riego">#REF!</definedName>
    <definedName name="tipos_Bomba_de_Riego_Estandar">#REF!</definedName>
    <definedName name="tipos_Bomba_de_Riego_Estandar_NA">#REF!</definedName>
    <definedName name="tipos_Calefón">#REF!</definedName>
    <definedName name="tipos_Celulares">#REF!</definedName>
    <definedName name="tipos_Celulares_Cargador">#REF!</definedName>
    <definedName name="tipos_Celulares_Cargador_Standby">#REF!</definedName>
    <definedName name="tipos_Celulares_Estandar">#REF!</definedName>
    <definedName name="tipos_Celulares_Estandar_NA">#REF!</definedName>
    <definedName name="tipos_cocina_Eléctrica">#REF!</definedName>
    <definedName name="tipos_cocina_Gas">#REF!</definedName>
    <definedName name="tipos_cocina_Leña">#REF!</definedName>
    <definedName name="tipos_Computador">#REF!</definedName>
    <definedName name="tipos_Computador_Escritorio">#REF!</definedName>
    <definedName name="tipos_Computador_Escritorio_CRT">#REF!</definedName>
    <definedName name="tipos_Computador_Escritorio_LED">#REF!</definedName>
    <definedName name="tipos_Computador_Escritorio_Standby">#REF!</definedName>
    <definedName name="tipos_Computador_Notebook">#REF!</definedName>
    <definedName name="tipos_Computador_Notebook_NA">#REF!</definedName>
    <definedName name="tipos_Congelador">#REF!</definedName>
    <definedName name="tipos_Congelador_Grande">#REF!</definedName>
    <definedName name="tipos_Congelador_Grande_NA">#REF!</definedName>
    <definedName name="tipos_Congelador_Muy_grande">#REF!</definedName>
    <definedName name="tipos_Congelador_Muy_Grande_NA">#REF!</definedName>
    <definedName name="tipos_Equipos_de_Música">#REF!</definedName>
    <definedName name="tipos_Equipos_de_Música_Home_Theater">#REF!</definedName>
    <definedName name="tipos_Equipos_de_Música_Home_Theater_NA">#REF!</definedName>
    <definedName name="tipos_Equipos_de_Música_Microcomponentes">#REF!</definedName>
    <definedName name="tipos_Equipos_de_Música_Microcomponentes_NA">#REF!</definedName>
    <definedName name="tipos_Equipos_de_Música_Minicomponentes_NA">#REF!</definedName>
    <definedName name="tipos_Equipos_de_Música_Varios_Standby">#REF!</definedName>
    <definedName name="tipos_Hervidor">#REF!</definedName>
    <definedName name="tipos_Hervidor_NA">#REF!</definedName>
    <definedName name="tipos_Hervidor_NA_NA">#REF!</definedName>
    <definedName name="tipos_Hornillo">#REF!</definedName>
    <definedName name="tipos_Hornillo_Eléctrico">#REF!</definedName>
    <definedName name="tipos_Hornillo_Eléctrico_Grande">#REF!</definedName>
    <definedName name="tipos_Hornillo_Eléctrico_Mediano">#REF!</definedName>
    <definedName name="tipos_Hornillo_Eléctrico_Pequeño">#REF!</definedName>
    <definedName name="tipos_Horno">#REF!</definedName>
    <definedName name="tipos_Horno_Microondas">#REF!</definedName>
    <definedName name="tipos_Horno_Microondas_Grande">#REF!</definedName>
    <definedName name="tipos_Horno_Microondas_Normal">#REF!</definedName>
    <definedName name="tipos_Horno_Microondas_Standby">#REF!</definedName>
    <definedName name="tipos_Lavadora">#REF!</definedName>
    <definedName name="tipos_Lavadora_Carga_Frontal">#REF!</definedName>
    <definedName name="tipos_Lavadora_Carga_Frontal_NA">#REF!</definedName>
    <definedName name="tipos_Lavadora_Carga_Superior">#REF!</definedName>
    <definedName name="tipos_Lavadora_Carga_Superior_NA">#REF!</definedName>
    <definedName name="tipos_Lavadora_Lavadora_mas_Secadora">#REF!</definedName>
    <definedName name="tipos_Lavadora_Lavadora_mas_Secadora_NA">#REF!</definedName>
    <definedName name="tipos_Lavadora_Semiautomática">#REF!</definedName>
    <definedName name="tipos_Lavadora_Semiautomática_NA">#REF!</definedName>
    <definedName name="tipos_Lavadora_Varios">#REF!</definedName>
    <definedName name="tipos_Lavadora_Varios_Standby">#REF!</definedName>
    <definedName name="tipos_Lavavajillas">#REF!</definedName>
    <definedName name="tipos_Lavavajillas_Eléctrica">#REF!</definedName>
    <definedName name="tipos_Lavavajillas_Eléctrica_NA">#REF!</definedName>
    <definedName name="tipos_Lavavajillas_Eléctrica_Standby">#REF!</definedName>
    <definedName name="tipos_Plancha">#REF!</definedName>
    <definedName name="tipos_Plancha_Estandar">#REF!</definedName>
    <definedName name="tipos_Plancha_Estandar_NA">#REF!</definedName>
    <definedName name="tipos_Refrigerador__después_2007">#REF!</definedName>
    <definedName name="tipos_Refrigerador__después_2007_Dos_puertas_con_Congelador_arriba_o_abajo">#REF!</definedName>
    <definedName name="tipos_Refrigerador__después_2007_Dos_puertas_con_Congelador_arriba_o_abajo_A">#REF!</definedName>
    <definedName name="tipos_Refrigerador__después_2007_Dos_puertas_con_Congelador_arriba_o_abajo_B">#REF!</definedName>
    <definedName name="tipos_Refrigerador__después_2007_Dos_puertas_con_Congelador_arriba_o_abajo_C">#REF!</definedName>
    <definedName name="tipos_Refrigerador__después_2007_Dos_puertas_con_Congelador_arriba_o_abajo_D">#REF!</definedName>
    <definedName name="tipos_Refrigerador__después_2007_Dos_puertas_con_Congelador_arriba_o_abajo_E">#REF!</definedName>
    <definedName name="tipos_Refrigerador__después_2007_Dos_puertas_con_Congelador_arriba_o_abajo_NA">#REF!</definedName>
    <definedName name="tipos_Refrigerador__después_2007_Dos_puertas_en_vertical">#REF!</definedName>
    <definedName name="tipos_Refrigerador__después_2007_Dos_puertas_en_vertical_A">#REF!</definedName>
    <definedName name="tipos_Refrigerador__después_2007_Dos_puertas_en_vertical_B">#REF!</definedName>
    <definedName name="tipos_Refrigerador__después_2007_Dos_puertas_en_vertical_C">#REF!</definedName>
    <definedName name="tipos_Refrigerador__después_2007_Dos_puertas_en_vertical_D">#REF!</definedName>
    <definedName name="tipos_Refrigerador__después_2007_Dos_puertas_en_vertical_E">#REF!</definedName>
    <definedName name="tipos_Refrigerador__después_2007_Dos_puertas_en_vertical_NA">#REF!</definedName>
    <definedName name="tipos_Refrigerador__después_2007_Una_puerta">#REF!</definedName>
    <definedName name="tipos_Refrigerador__después_2007_Una_puerta_A">#REF!</definedName>
    <definedName name="tipos_Refrigerador__después_2007_Una_puerta_B">#REF!</definedName>
    <definedName name="tipos_Refrigerador__después_2007_Una_puerta_C">#REF!</definedName>
    <definedName name="tipos_Refrigerador__después_2007_Una_puerta_D">#REF!</definedName>
    <definedName name="tipos_Refrigerador__después_2007_Una_puerta_E">#REF!</definedName>
    <definedName name="tipos_Refrigerador__después_2007_Una_puerta_NA">#REF!</definedName>
    <definedName name="tipos_Refrigerador_antes_2006">#REF!</definedName>
    <definedName name="tipos_Refrigerador_antes_2006_Dos_puertas_con_Congelador_arriba_o_abajo">#REF!</definedName>
    <definedName name="tipos_Refrigerador_antes_2006_Dos_puertas_con_Congelador_arriba_o_abajo_NA">#REF!</definedName>
    <definedName name="tipos_Refrigerador_antes_2006_Dos_puertas_en_vertical">#REF!</definedName>
    <definedName name="tipos_Refrigerador_antes_2006_Dos_puertas_en_vertical_NA">#REF!</definedName>
    <definedName name="tipos_Refrigerador_antes_2006_Una_puerta">#REF!</definedName>
    <definedName name="tipos_Refrigerador_antes_2006_Una_puerta_NA">#REF!</definedName>
    <definedName name="tipos_Televisor">#REF!</definedName>
    <definedName name="tipos_Televisor_CRT">#REF!</definedName>
    <definedName name="tipos_Televisor_CRT_NA">#REF!</definedName>
    <definedName name="tipos_Televisor_LED">#REF!</definedName>
    <definedName name="tipos_Televisor_Varios">#REF!</definedName>
    <definedName name="tipos_Televisor_Varios_Standby">#REF!</definedName>
    <definedName name="tipos_Ventilador">#REF!</definedName>
    <definedName name="tipos_Ventilador_Mesa">#REF!</definedName>
    <definedName name="tipos_Ventilador_Mesa_NA">#REF!</definedName>
    <definedName name="tipos_Ventilador_Pedestal">#REF!</definedName>
    <definedName name="tipos_Ventilador_Pedestal_NA">#REF!</definedName>
    <definedName name="tipos_Ventilador_Techo">#REF!</definedName>
    <definedName name="tipos_Ventilador_Techo_NA">#REF!</definedName>
    <definedName name="UF">#REF!</definedName>
    <definedName name="UF_DIA">#REF!</definedName>
    <definedName name="UFPLANILLA">'[2]ECOSTO-RBD 9610'!$K$2</definedName>
    <definedName name="uso_horario_duchas">#REF!,#REF!,#REF!,#REF!</definedName>
    <definedName name="uso_horario_lavadoras">#REF!,#REF!,#REF!,#REF!</definedName>
    <definedName name="uso_horario_lavaplatos">#REF!,#REF!,#REF!,#REF!</definedName>
    <definedName name="uso_semanal_duchas">#REF!,#REF!,#REF!,#REF!</definedName>
    <definedName name="uso_semanal_lavadoras">#REF!,#REF!,#REF!,#REF!,#REF!</definedName>
    <definedName name="uso_semanal_lavaplatos">#REF!,#REF!,#REF!,#REF!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75" i="6" l="1"/>
  <c r="F150" i="6" l="1"/>
  <c r="H150" i="6" s="1"/>
  <c r="H458" i="6"/>
  <c r="H457" i="6"/>
  <c r="H363" i="6"/>
  <c r="H49" i="6"/>
  <c r="H412" i="6"/>
  <c r="H170" i="6"/>
  <c r="H169" i="6"/>
  <c r="F128" i="6"/>
  <c r="F124" i="6"/>
  <c r="F160" i="6" s="1"/>
  <c r="F112" i="6"/>
  <c r="F111" i="6"/>
  <c r="F107" i="6"/>
  <c r="F163" i="6" s="1"/>
  <c r="F109" i="6"/>
  <c r="F108" i="6"/>
  <c r="F162" i="6" s="1"/>
  <c r="F94" i="6"/>
  <c r="F88" i="6"/>
  <c r="F76" i="6"/>
  <c r="F80" i="6"/>
  <c r="F79" i="6"/>
  <c r="F77" i="6"/>
  <c r="F89" i="6"/>
  <c r="H87" i="6"/>
  <c r="G92" i="6"/>
  <c r="H92" i="6" s="1"/>
  <c r="G91" i="6"/>
  <c r="H91" i="6" s="1"/>
  <c r="H67" i="6"/>
  <c r="H66" i="6"/>
  <c r="H65" i="6"/>
  <c r="H64" i="6"/>
  <c r="F55" i="6"/>
  <c r="F54" i="6"/>
  <c r="F53" i="6"/>
  <c r="F46" i="6"/>
  <c r="F34" i="6"/>
  <c r="H47" i="6"/>
  <c r="F38" i="6"/>
  <c r="F37" i="6"/>
  <c r="F25" i="6"/>
  <c r="F28" i="6" s="1"/>
  <c r="F23" i="6"/>
  <c r="F19" i="6"/>
  <c r="F106" i="6" l="1"/>
  <c r="F113" i="6" s="1"/>
  <c r="F26" i="6"/>
  <c r="F27" i="6"/>
  <c r="F135" i="6" l="1"/>
  <c r="F136" i="6" s="1"/>
  <c r="H384" i="6" l="1"/>
  <c r="H383" i="6"/>
  <c r="H382" i="6"/>
  <c r="H381" i="6"/>
  <c r="H357" i="6"/>
  <c r="H355" i="6"/>
  <c r="H353" i="6"/>
  <c r="H352" i="6"/>
  <c r="H350" i="6"/>
  <c r="H349" i="6"/>
  <c r="H313" i="6"/>
  <c r="H312" i="6"/>
  <c r="F152" i="6"/>
  <c r="F155" i="6"/>
  <c r="H155" i="6" s="1"/>
  <c r="F96" i="6"/>
  <c r="H96" i="6" s="1"/>
  <c r="F97" i="6"/>
  <c r="H97" i="6" s="1"/>
  <c r="F95" i="6"/>
  <c r="H77" i="6"/>
  <c r="H76" i="6"/>
  <c r="H377" i="6"/>
  <c r="H378" i="6"/>
  <c r="H442" i="6"/>
  <c r="F440" i="6"/>
  <c r="H440" i="6" s="1"/>
  <c r="H438" i="6"/>
  <c r="F437" i="6"/>
  <c r="H437" i="6" s="1"/>
  <c r="F435" i="6"/>
  <c r="H435" i="6" s="1"/>
  <c r="F434" i="6"/>
  <c r="H434" i="6" s="1"/>
  <c r="F433" i="6"/>
  <c r="F441" i="6" s="1"/>
  <c r="H441" i="6" s="1"/>
  <c r="F431" i="6"/>
  <c r="H431" i="6" s="1"/>
  <c r="H430" i="6"/>
  <c r="H428" i="6"/>
  <c r="H427" i="6"/>
  <c r="H426" i="6"/>
  <c r="H424" i="6"/>
  <c r="H423" i="6"/>
  <c r="H421" i="6"/>
  <c r="H419" i="6"/>
  <c r="H418" i="6"/>
  <c r="H416" i="6"/>
  <c r="G415" i="6"/>
  <c r="F415" i="6"/>
  <c r="G414" i="6"/>
  <c r="H414" i="6" s="1"/>
  <c r="F411" i="6"/>
  <c r="H411" i="6" s="1"/>
  <c r="F410" i="6"/>
  <c r="H410" i="6" s="1"/>
  <c r="F409" i="6"/>
  <c r="H409" i="6" s="1"/>
  <c r="F408" i="6"/>
  <c r="H408" i="6" s="1"/>
  <c r="G392" i="6"/>
  <c r="H392" i="6" s="1"/>
  <c r="G391" i="6"/>
  <c r="H391" i="6" s="1"/>
  <c r="H373" i="6"/>
  <c r="H372" i="6"/>
  <c r="H371" i="6"/>
  <c r="H370" i="6"/>
  <c r="H368" i="6"/>
  <c r="H367" i="6"/>
  <c r="H366" i="6"/>
  <c r="H365" i="6"/>
  <c r="H362" i="6"/>
  <c r="H361" i="6"/>
  <c r="H360" i="6"/>
  <c r="H338" i="6"/>
  <c r="H337" i="6"/>
  <c r="H336" i="6"/>
  <c r="H335" i="6"/>
  <c r="H333" i="6"/>
  <c r="H332" i="6"/>
  <c r="H331" i="6"/>
  <c r="H329" i="6"/>
  <c r="H328" i="6"/>
  <c r="H327" i="6"/>
  <c r="H325" i="6"/>
  <c r="H324" i="6"/>
  <c r="H322" i="6"/>
  <c r="H321" i="6"/>
  <c r="H320" i="6"/>
  <c r="H319" i="6"/>
  <c r="H318" i="6"/>
  <c r="H317" i="6"/>
  <c r="F314" i="6"/>
  <c r="H314" i="6" s="1"/>
  <c r="H311" i="6"/>
  <c r="H310" i="6"/>
  <c r="H309" i="6"/>
  <c r="H308" i="6"/>
  <c r="H307" i="6"/>
  <c r="H306" i="6"/>
  <c r="H305" i="6"/>
  <c r="H303" i="6"/>
  <c r="H302" i="6"/>
  <c r="H301" i="6"/>
  <c r="H299" i="6"/>
  <c r="H298" i="6"/>
  <c r="H297" i="6"/>
  <c r="H295" i="6"/>
  <c r="H294" i="6"/>
  <c r="H293" i="6"/>
  <c r="H292" i="6"/>
  <c r="H289" i="6"/>
  <c r="H287" i="6"/>
  <c r="H286" i="6"/>
  <c r="H285" i="6"/>
  <c r="H284" i="6"/>
  <c r="H283" i="6"/>
  <c r="H281" i="6"/>
  <c r="H280" i="6"/>
  <c r="H279" i="6"/>
  <c r="H278" i="6"/>
  <c r="F277" i="6"/>
  <c r="H277" i="6" s="1"/>
  <c r="F276" i="6"/>
  <c r="H276" i="6" s="1"/>
  <c r="F275" i="6"/>
  <c r="H275" i="6" s="1"/>
  <c r="H274" i="6"/>
  <c r="H273" i="6"/>
  <c r="F272" i="6"/>
  <c r="H272" i="6" s="1"/>
  <c r="H270" i="6"/>
  <c r="H269" i="6"/>
  <c r="H267" i="6"/>
  <c r="H266" i="6"/>
  <c r="H264" i="6"/>
  <c r="H263" i="6"/>
  <c r="H262" i="6"/>
  <c r="H261" i="6"/>
  <c r="H259" i="6"/>
  <c r="H258" i="6"/>
  <c r="H256" i="6"/>
  <c r="H253" i="6"/>
  <c r="H251" i="6"/>
  <c r="H244" i="6"/>
  <c r="H243" i="6"/>
  <c r="H241" i="6"/>
  <c r="H240" i="6"/>
  <c r="H239" i="6"/>
  <c r="H238" i="6"/>
  <c r="F235" i="6"/>
  <c r="H235" i="6" s="1"/>
  <c r="F234" i="6"/>
  <c r="H231" i="6"/>
  <c r="H229" i="6"/>
  <c r="H227" i="6"/>
  <c r="H226" i="6"/>
  <c r="H224" i="6"/>
  <c r="H223" i="6"/>
  <c r="H221" i="6"/>
  <c r="H220" i="6"/>
  <c r="F218" i="6"/>
  <c r="H218" i="6" s="1"/>
  <c r="H216" i="6"/>
  <c r="H215" i="6"/>
  <c r="F212" i="6"/>
  <c r="H212" i="6" s="1"/>
  <c r="F211" i="6"/>
  <c r="H211" i="6" s="1"/>
  <c r="H208" i="6"/>
  <c r="H207" i="6"/>
  <c r="F206" i="6"/>
  <c r="H206" i="6" s="1"/>
  <c r="H205" i="6"/>
  <c r="H203" i="6"/>
  <c r="H202" i="6"/>
  <c r="H201" i="6"/>
  <c r="H199" i="6"/>
  <c r="H198" i="6"/>
  <c r="F197" i="6"/>
  <c r="H197" i="6" s="1"/>
  <c r="H196" i="6"/>
  <c r="H194" i="6"/>
  <c r="H193" i="6"/>
  <c r="H191" i="6"/>
  <c r="H190" i="6"/>
  <c r="H189" i="6"/>
  <c r="H188" i="6"/>
  <c r="H187" i="6"/>
  <c r="H185" i="6"/>
  <c r="H184" i="6"/>
  <c r="F183" i="6"/>
  <c r="H183" i="6" s="1"/>
  <c r="H182" i="6"/>
  <c r="H181" i="6"/>
  <c r="F178" i="6"/>
  <c r="H178" i="6" s="1"/>
  <c r="F177" i="6"/>
  <c r="H172" i="6"/>
  <c r="F168" i="6"/>
  <c r="H168" i="6" s="1"/>
  <c r="H166" i="6"/>
  <c r="H165" i="6"/>
  <c r="F164" i="6"/>
  <c r="H164" i="6" s="1"/>
  <c r="H163" i="6"/>
  <c r="F161" i="6"/>
  <c r="H161" i="6" s="1"/>
  <c r="H160" i="6"/>
  <c r="H157" i="6"/>
  <c r="F153" i="6"/>
  <c r="H153" i="6" s="1"/>
  <c r="F149" i="6"/>
  <c r="H149" i="6" s="1"/>
  <c r="H148" i="6"/>
  <c r="H147" i="6"/>
  <c r="H146" i="6"/>
  <c r="H145" i="6"/>
  <c r="H144" i="6"/>
  <c r="H143" i="6"/>
  <c r="H142" i="6"/>
  <c r="F140" i="6"/>
  <c r="H140" i="6" s="1"/>
  <c r="G139" i="6"/>
  <c r="F138" i="6"/>
  <c r="H138" i="6" s="1"/>
  <c r="H136" i="6"/>
  <c r="H135" i="6"/>
  <c r="G134" i="6"/>
  <c r="H134" i="6" s="1"/>
  <c r="H133" i="6"/>
  <c r="F130" i="6"/>
  <c r="H130" i="6" s="1"/>
  <c r="G128" i="6"/>
  <c r="H128" i="6" s="1"/>
  <c r="G124" i="6"/>
  <c r="H122" i="6"/>
  <c r="H121" i="6"/>
  <c r="H120" i="6"/>
  <c r="F115" i="6"/>
  <c r="H115" i="6" s="1"/>
  <c r="H113" i="6"/>
  <c r="G112" i="6"/>
  <c r="H112" i="6" s="1"/>
  <c r="H111" i="6"/>
  <c r="H109" i="6"/>
  <c r="G107" i="6"/>
  <c r="H107" i="6" s="1"/>
  <c r="F104" i="6"/>
  <c r="H104" i="6" s="1"/>
  <c r="F103" i="6"/>
  <c r="H103" i="6" s="1"/>
  <c r="F102" i="6"/>
  <c r="H102" i="6" s="1"/>
  <c r="H101" i="6"/>
  <c r="F100" i="6"/>
  <c r="H100" i="6" s="1"/>
  <c r="F99" i="6"/>
  <c r="H99" i="6" s="1"/>
  <c r="H94" i="6"/>
  <c r="H89" i="6"/>
  <c r="H88" i="6"/>
  <c r="H86" i="6"/>
  <c r="H85" i="6"/>
  <c r="G84" i="6"/>
  <c r="H84" i="6" s="1"/>
  <c r="G83" i="6"/>
  <c r="H80" i="6"/>
  <c r="H79" i="6"/>
  <c r="H74" i="6"/>
  <c r="H72" i="6"/>
  <c r="H71" i="6"/>
  <c r="G70" i="6"/>
  <c r="H70" i="6" s="1"/>
  <c r="G69" i="6"/>
  <c r="H69" i="6" s="1"/>
  <c r="G63" i="6"/>
  <c r="G62" i="6"/>
  <c r="H59" i="6"/>
  <c r="H58" i="6"/>
  <c r="F57" i="6"/>
  <c r="H57" i="6" s="1"/>
  <c r="H54" i="6"/>
  <c r="H53" i="6"/>
  <c r="H48" i="6"/>
  <c r="F50" i="6"/>
  <c r="H50" i="6" s="1"/>
  <c r="H45" i="6"/>
  <c r="H43" i="6"/>
  <c r="H42" i="6"/>
  <c r="F40" i="6"/>
  <c r="H40" i="6" s="1"/>
  <c r="H38" i="6"/>
  <c r="H37" i="6"/>
  <c r="H36" i="6"/>
  <c r="H35" i="6"/>
  <c r="H34" i="6"/>
  <c r="F30" i="6"/>
  <c r="F41" i="6" s="1"/>
  <c r="H41" i="6" s="1"/>
  <c r="H29" i="6"/>
  <c r="H28" i="6"/>
  <c r="H27" i="6"/>
  <c r="H26" i="6"/>
  <c r="H25" i="6"/>
  <c r="H23" i="6"/>
  <c r="H21" i="6"/>
  <c r="H20" i="6"/>
  <c r="H19" i="6"/>
  <c r="H393" i="6" l="1"/>
  <c r="H62" i="6"/>
  <c r="F179" i="6"/>
  <c r="H179" i="6" s="1"/>
  <c r="H63" i="6"/>
  <c r="F236" i="6"/>
  <c r="H236" i="6" s="1"/>
  <c r="H83" i="6"/>
  <c r="H139" i="6"/>
  <c r="H56" i="6"/>
  <c r="H177" i="6"/>
  <c r="H415" i="6"/>
  <c r="H467" i="6"/>
  <c r="H468" i="6" s="1"/>
  <c r="H469" i="6" s="1"/>
  <c r="H473" i="6" s="1"/>
  <c r="H152" i="6"/>
  <c r="H30" i="6"/>
  <c r="H31" i="6" s="1"/>
  <c r="H433" i="6"/>
  <c r="H124" i="6"/>
  <c r="F125" i="6"/>
  <c r="H125" i="6" s="1"/>
  <c r="F126" i="6"/>
  <c r="H126" i="6" s="1"/>
  <c r="F213" i="6"/>
  <c r="H213" i="6" s="1"/>
  <c r="H55" i="6"/>
  <c r="H46" i="6"/>
  <c r="F159" i="6"/>
  <c r="H159" i="6" s="1"/>
  <c r="F51" i="6"/>
  <c r="H51" i="6" s="1"/>
  <c r="H234" i="6"/>
  <c r="H385" i="6" l="1"/>
  <c r="H106" i="6"/>
  <c r="H162" i="6"/>
  <c r="H173" i="6" s="1"/>
  <c r="G422" i="6" l="1"/>
  <c r="H422" i="6" s="1"/>
  <c r="H443" i="6" s="1"/>
  <c r="H445" i="6" s="1"/>
  <c r="G95" i="6"/>
  <c r="H95" i="6" s="1"/>
  <c r="G108" i="6"/>
  <c r="H108" i="6" s="1"/>
  <c r="F13" i="2"/>
  <c r="F8" i="2"/>
  <c r="F19" i="2" s="1"/>
  <c r="H116" i="6" l="1"/>
  <c r="H395" i="6" s="1"/>
  <c r="H447" i="6"/>
  <c r="H446" i="6"/>
  <c r="H396" i="6" l="1"/>
  <c r="H397" i="6"/>
  <c r="H448" i="6"/>
  <c r="H449" i="6" s="1"/>
  <c r="H450" i="6" s="1"/>
  <c r="H398" i="6" l="1"/>
  <c r="H399" i="6" s="1"/>
  <c r="H400" i="6" s="1"/>
  <c r="H472" i="6" s="1"/>
  <c r="H474" i="6" s="1"/>
</calcChain>
</file>

<file path=xl/sharedStrings.xml><?xml version="1.0" encoding="utf-8"?>
<sst xmlns="http://schemas.openxmlformats.org/spreadsheetml/2006/main" count="1207" uniqueCount="839">
  <si>
    <t>OBRA</t>
  </si>
  <si>
    <t>:</t>
  </si>
  <si>
    <t>ESTABLECIMIENTO</t>
  </si>
  <si>
    <t>PROPIETARIO</t>
  </si>
  <si>
    <t>UBICACIÓN</t>
  </si>
  <si>
    <t>COMUNA</t>
  </si>
  <si>
    <t>REGION</t>
  </si>
  <si>
    <t>PARTIDAS</t>
  </si>
  <si>
    <t>ITEM</t>
  </si>
  <si>
    <t>DESCRIPCION</t>
  </si>
  <si>
    <t>UNIDAD</t>
  </si>
  <si>
    <t>CANTIDAD</t>
  </si>
  <si>
    <t xml:space="preserve">PRECIO TOTAL($)  </t>
  </si>
  <si>
    <t>SUB  TOTAL  PARCIAL 1</t>
  </si>
  <si>
    <t>SUB  TOTAL  PARCIAL 2</t>
  </si>
  <si>
    <t>3.1.2</t>
  </si>
  <si>
    <t>3.1.3</t>
  </si>
  <si>
    <t>SUBTOTAL - COSTO DIRECTO</t>
  </si>
  <si>
    <t>UTILIDADES 15%</t>
  </si>
  <si>
    <t>SUBTOTAL NETO</t>
  </si>
  <si>
    <t xml:space="preserve">I.V.A </t>
  </si>
  <si>
    <t>TOTAL</t>
  </si>
  <si>
    <t>BUIN</t>
  </si>
  <si>
    <t>METROPOLITANA</t>
  </si>
  <si>
    <t>CORPORACION DE DESARROLLO SOCIAL DE BUIN</t>
  </si>
  <si>
    <t>LIMPIEZA Y MANTENCION DE LA OBRA</t>
  </si>
  <si>
    <t>RETIRO DE ESCOMBROS</t>
  </si>
  <si>
    <t>SUB  TOTAL  PARCIAL 5</t>
  </si>
  <si>
    <t>FECHA</t>
  </si>
  <si>
    <t>GASTOS  GENERALES 10%</t>
  </si>
  <si>
    <t>PRECIO U.  ($)</t>
  </si>
  <si>
    <t>TECHUMBRE</t>
  </si>
  <si>
    <t>1.1</t>
  </si>
  <si>
    <t>1.2</t>
  </si>
  <si>
    <t>1.3</t>
  </si>
  <si>
    <t>EMPASTE DE JUNTAS</t>
  </si>
  <si>
    <t>EMPLANTILLADO</t>
  </si>
  <si>
    <t>4.1.1</t>
  </si>
  <si>
    <t>4.1.2</t>
  </si>
  <si>
    <t>COSTANERAS OMEGA FE GALVANIZADO</t>
  </si>
  <si>
    <t>PUERTAS</t>
  </si>
  <si>
    <t xml:space="preserve">VENTANAS </t>
  </si>
  <si>
    <t>LLAVES DE PASO</t>
  </si>
  <si>
    <t>3.2</t>
  </si>
  <si>
    <t>3.2.1</t>
  </si>
  <si>
    <t>3.3</t>
  </si>
  <si>
    <t>3.3.1</t>
  </si>
  <si>
    <t>3.3.2</t>
  </si>
  <si>
    <t>3.3.3</t>
  </si>
  <si>
    <t>3.4</t>
  </si>
  <si>
    <t>3.4.1</t>
  </si>
  <si>
    <t>3.4.2</t>
  </si>
  <si>
    <t>3.5</t>
  </si>
  <si>
    <t>3.6</t>
  </si>
  <si>
    <t>3.6.1</t>
  </si>
  <si>
    <t>2.1.1</t>
  </si>
  <si>
    <t>2.1.2</t>
  </si>
  <si>
    <t xml:space="preserve">INSTALACIÓN DE FAENA </t>
  </si>
  <si>
    <t xml:space="preserve">EMPALME PROVISORIO A RED ELÉCTRICA </t>
  </si>
  <si>
    <t>1.1.1</t>
  </si>
  <si>
    <t>1.1.2</t>
  </si>
  <si>
    <t>1.1.3</t>
  </si>
  <si>
    <t>1.1.4</t>
  </si>
  <si>
    <t>BAÑOS QUIMICOS</t>
  </si>
  <si>
    <t>LIMPIEZA DE TERRENO Y EMPAREJAMIENTO DEL TERRENO</t>
  </si>
  <si>
    <t>ESCARPE TERRENO NATURAL</t>
  </si>
  <si>
    <t xml:space="preserve">TRAZADO </t>
  </si>
  <si>
    <t>2.-OBRA GRUESA</t>
  </si>
  <si>
    <t>FUNDACIÓN CORRIDA</t>
  </si>
  <si>
    <t xml:space="preserve">2.1      </t>
  </si>
  <si>
    <t xml:space="preserve">HORMIGÓN FUNDACIONES </t>
  </si>
  <si>
    <t>2.2</t>
  </si>
  <si>
    <t>SOBRECIMIENTO</t>
  </si>
  <si>
    <t>2.2.1</t>
  </si>
  <si>
    <t>2.2.2</t>
  </si>
  <si>
    <t>2.2.3</t>
  </si>
  <si>
    <t>ENFIERRADURA DE SOBRECIMIENTO</t>
  </si>
  <si>
    <t>MOLDAJE DE SOBRECIMIENTO</t>
  </si>
  <si>
    <t>2.3</t>
  </si>
  <si>
    <t>2.3.1</t>
  </si>
  <si>
    <t>2.3.2</t>
  </si>
  <si>
    <t>2.3.3</t>
  </si>
  <si>
    <t>BASE PAVIMENTOS</t>
  </si>
  <si>
    <t xml:space="preserve">BASE DE RIPIO </t>
  </si>
  <si>
    <t>2.3.4</t>
  </si>
  <si>
    <t>2.3.5</t>
  </si>
  <si>
    <t xml:space="preserve">ESTRUCTURAS DE MUROS </t>
  </si>
  <si>
    <t>2.4</t>
  </si>
  <si>
    <t>2.4.1</t>
  </si>
  <si>
    <t>2.4.2</t>
  </si>
  <si>
    <t>2.5</t>
  </si>
  <si>
    <t>2.5.1</t>
  </si>
  <si>
    <t>2.6</t>
  </si>
  <si>
    <t>2.6.1</t>
  </si>
  <si>
    <t>2.6.2</t>
  </si>
  <si>
    <t>2.6.3</t>
  </si>
  <si>
    <t>2.6.4</t>
  </si>
  <si>
    <t>2.6.5</t>
  </si>
  <si>
    <t>2.7</t>
  </si>
  <si>
    <t xml:space="preserve">REVESTIMIENTO EXTERIOR </t>
  </si>
  <si>
    <t>2.7.1</t>
  </si>
  <si>
    <t>2.7.3</t>
  </si>
  <si>
    <t>REVESTIMIENTO INTERIOR</t>
  </si>
  <si>
    <t>3.1</t>
  </si>
  <si>
    <t>3.2.2</t>
  </si>
  <si>
    <t>MOLDURAS</t>
  </si>
  <si>
    <t>3.6.3</t>
  </si>
  <si>
    <t>4.-INSTALACIONES</t>
  </si>
  <si>
    <t>3.-TERMINACIONES</t>
  </si>
  <si>
    <t>4.1</t>
  </si>
  <si>
    <t>4.2</t>
  </si>
  <si>
    <t>4.1.3</t>
  </si>
  <si>
    <t>4.1.4</t>
  </si>
  <si>
    <t>4.2.1</t>
  </si>
  <si>
    <t>4.2.2</t>
  </si>
  <si>
    <t>4.2.3</t>
  </si>
  <si>
    <t>4.3</t>
  </si>
  <si>
    <t>4.4</t>
  </si>
  <si>
    <t>4.5</t>
  </si>
  <si>
    <t>4.3.1</t>
  </si>
  <si>
    <t>4.3.2</t>
  </si>
  <si>
    <t xml:space="preserve">INSTALACIÓN ELÉCTRICA </t>
  </si>
  <si>
    <t>LAVAMANOS CON PEDESTAL</t>
  </si>
  <si>
    <t>GRIFERIA</t>
  </si>
  <si>
    <t>ACCESORIOS BAÑOS</t>
  </si>
  <si>
    <t xml:space="preserve">INSTALACIONES SANITARIAS </t>
  </si>
  <si>
    <t>5.1.1</t>
  </si>
  <si>
    <t>5.1.2</t>
  </si>
  <si>
    <t>4.5.1</t>
  </si>
  <si>
    <t>4.5.2</t>
  </si>
  <si>
    <t>4.5.3</t>
  </si>
  <si>
    <t>4.5.4</t>
  </si>
  <si>
    <t>REPLANTEO</t>
  </si>
  <si>
    <t>2.3.6</t>
  </si>
  <si>
    <t>4.2.4</t>
  </si>
  <si>
    <t>5.2</t>
  </si>
  <si>
    <t>PINTURAS</t>
  </si>
  <si>
    <t>4.1.4.1</t>
  </si>
  <si>
    <t>6.1.1</t>
  </si>
  <si>
    <t>HOJALATERIA</t>
  </si>
  <si>
    <t>MARCO DE FE GALVANIZADO PARA VANOS</t>
  </si>
  <si>
    <t>5.2.1</t>
  </si>
  <si>
    <t>5.2.2</t>
  </si>
  <si>
    <t>SUB  TOTAL  PARCIAL 3</t>
  </si>
  <si>
    <t>SUB  TOTAL  PARCIAL 4</t>
  </si>
  <si>
    <t>SUB  TOTAL  PARCIAL 6</t>
  </si>
  <si>
    <t>CIERRE E ILUMINACIÓN</t>
  </si>
  <si>
    <t>4.6</t>
  </si>
  <si>
    <t>4.6.1</t>
  </si>
  <si>
    <t xml:space="preserve">CALEFACCIÓN </t>
  </si>
  <si>
    <t>3.7</t>
  </si>
  <si>
    <t>3.7.1</t>
  </si>
  <si>
    <t>3.7.2</t>
  </si>
  <si>
    <t>SON: Valores de las partidas 4.4.1 ARRANQUE DE AGUA POTABLE, ARRANQUE MAP y 4.4.1 TABLERO ELECTRICO CON EMPALME INCLUYE CERTIFICACIÓN TE-1 pueden variar</t>
  </si>
  <si>
    <t xml:space="preserve">          dependiendo del tipo de proyecto que considere la municipalidad a implementar.</t>
  </si>
  <si>
    <t>4.2.5</t>
  </si>
  <si>
    <t>BASE ESTABILIZADA COMPACTADA e=20cm</t>
  </si>
  <si>
    <t>2.6.5.1</t>
  </si>
  <si>
    <t>2.6.5.2</t>
  </si>
  <si>
    <t>2.6.5.3</t>
  </si>
  <si>
    <t>2.6.5.4</t>
  </si>
  <si>
    <t>2.6.5.5</t>
  </si>
  <si>
    <t>2.6.5.6</t>
  </si>
  <si>
    <t>Un</t>
  </si>
  <si>
    <t>SEÑALÉTICA COLGANTE</t>
  </si>
  <si>
    <t>DEFENSA Y SEGURIDAD CONTRA INCENDIOS</t>
  </si>
  <si>
    <t>EXTINTORES DE POLVO QUÍMICO SECO</t>
  </si>
  <si>
    <t>LECTOR BRAILLE</t>
  </si>
  <si>
    <t xml:space="preserve">RECEPCIONES Y DOCUMENTACIÓN </t>
  </si>
  <si>
    <t>PLANOS AS BUILT Y OTROS DOCUMENTOS</t>
  </si>
  <si>
    <t>PROYECTO SANITARIO</t>
  </si>
  <si>
    <t>ESPECIALIDADES</t>
  </si>
  <si>
    <t xml:space="preserve">PROYECTO DE CALCULO </t>
  </si>
  <si>
    <t>PROYECTO DE ACCESOS</t>
  </si>
  <si>
    <t>PROYECTO DE MECANICA DE SUELOS</t>
  </si>
  <si>
    <t>INSTALACION DE PLANTA DE TRATAMIENTO</t>
  </si>
  <si>
    <t>INSTALACION DE PLANTA DE AGUA</t>
  </si>
  <si>
    <t>gl</t>
  </si>
  <si>
    <t>DEMOLICIÓN DE CIERRE EXISTENTE</t>
  </si>
  <si>
    <t>1.- OBRAS PREVIAS Y PRELIMINARES</t>
  </si>
  <si>
    <t xml:space="preserve">ESTRUCTURA CUBIERTA </t>
  </si>
  <si>
    <t xml:space="preserve">CANALETA DE AGUAS LLUVIAS DE FE GALVANIZADO </t>
  </si>
  <si>
    <t xml:space="preserve">BAJADA DE AGUAS LLUVIAS FE GALVANIZADO </t>
  </si>
  <si>
    <t xml:space="preserve">REFUERZO TACO DE MADERA </t>
  </si>
  <si>
    <t>CERCHA, ACERO GALVANIZADO</t>
  </si>
  <si>
    <t>PORTANTE PARA CIELO CON PORTANTE PERIMETRAL  FE GALVANIZADO</t>
  </si>
  <si>
    <t>ACCESORIOS DE CONEXIONADO Y MONTAJE</t>
  </si>
  <si>
    <t>TABLERO GENERAL</t>
  </si>
  <si>
    <t>MALLA A TIERRA</t>
  </si>
  <si>
    <t>EQUIPOS ILUMINACIÓN (SUMINISTRO Y MONTAJE)</t>
  </si>
  <si>
    <t>HUBLOTS LED ROJO 4W. LEGRAND</t>
  </si>
  <si>
    <t>EXTRACTOR DE AIRE</t>
  </si>
  <si>
    <t>GRUPO ELECTRÓGENO</t>
  </si>
  <si>
    <t>PUESTA EN MARCHA Y FLETES</t>
  </si>
  <si>
    <t xml:space="preserve">PRUEBAS DE INSTALACIONES </t>
  </si>
  <si>
    <t>SUMINISTRO E INSTALACIÓ AIRE ACONDICIONADO INVERTER DE 12000 BTU</t>
  </si>
  <si>
    <t>EXCAVACIONES</t>
  </si>
  <si>
    <t>CAMA DE ARENA</t>
  </si>
  <si>
    <t>MOVIMIENTO DE TIERRAS</t>
  </si>
  <si>
    <t>RELLENO</t>
  </si>
  <si>
    <t>CAÑERÍAS INTERIORES</t>
  </si>
  <si>
    <t>LLAVES DE PASO Y SALIDA</t>
  </si>
  <si>
    <t>RED HÚMEDA</t>
  </si>
  <si>
    <t>GABINETE (DE RED HÚMEDA)</t>
  </si>
  <si>
    <t>AISLACIÓN</t>
  </si>
  <si>
    <t>TUBERÍAS</t>
  </si>
  <si>
    <t>SEÑALÉTICA</t>
  </si>
  <si>
    <t>SEÑALÉTICA DE ADVERTENCIA</t>
  </si>
  <si>
    <t>CONDUCTOS DE EXTRACCIÓN DE GASES</t>
  </si>
  <si>
    <t>CONDUCTO EXTRACCIÓN GASES</t>
  </si>
  <si>
    <t>INSTALACIÓN DE ARTEFACTOS A GAS</t>
  </si>
  <si>
    <t>ALCANTARILLADO AGUAS SERVIDAS</t>
  </si>
  <si>
    <t>TUBERIAS</t>
  </si>
  <si>
    <t>PILETAS</t>
  </si>
  <si>
    <t xml:space="preserve">PILETA DE PISO </t>
  </si>
  <si>
    <t>CÁMARAS DE INSPECCIÓN</t>
  </si>
  <si>
    <t>C. INSPECCIÓN DOMICILIARIA H= 0-1 M.</t>
  </si>
  <si>
    <t>C. INSPECCIÓN DOMICILIARIA H= 1-2 M.</t>
  </si>
  <si>
    <t>C. INSPECCIÓN DOMICILIARIA H= + 2 M.</t>
  </si>
  <si>
    <t>CAMARA DESGRASADORA</t>
  </si>
  <si>
    <t>CANALIZACIONES PARA SISTEMAS DE VOZ Y DATOS</t>
  </si>
  <si>
    <t>DUCTOS DE ACOMETIDA CORRIENTES DÉBILES HASTA SALA TÉCNICA</t>
  </si>
  <si>
    <t>CÁMARA DE DISTRIBUCIÓN DE CORRIENTES DÉBILES</t>
  </si>
  <si>
    <t>ARRANQUES PARA DATOS/TELÉFONOS</t>
  </si>
  <si>
    <t xml:space="preserve">CANALIZACIONES PARA SISTEMAS DE ALARMAS DE INCENDIOS </t>
  </si>
  <si>
    <t>ARRANQUES PARA SENSORES DE HUMO</t>
  </si>
  <si>
    <t>ARRANQUES PARA SENSORES DE TEMPERATURA</t>
  </si>
  <si>
    <t>ARRANQUES PARA PALANCAS DE INCENDIO</t>
  </si>
  <si>
    <t>ARRANQUES PARA SISTEMAS DE AUDIO EVACUACIÓN</t>
  </si>
  <si>
    <t>IMPLEMENTACIÓN SISTEMAS VOZ Y DATOS</t>
  </si>
  <si>
    <t>SUMINISTRO Y MONTAJE RACK DE COMUNICACIÓN</t>
  </si>
  <si>
    <t>CABLEADO VOZ Y DATOS</t>
  </si>
  <si>
    <t>CONEXIONADO Y PUESTA EN MARCHA</t>
  </si>
  <si>
    <t>PRUEBAS Y CERTIFICACIÓN</t>
  </si>
  <si>
    <t>CABLEADO</t>
  </si>
  <si>
    <t>IMPLEMENTACIÓN SISTEMA DE CONTROL DE ACCESO</t>
  </si>
  <si>
    <t>2.1.3</t>
  </si>
  <si>
    <t>2.1.4</t>
  </si>
  <si>
    <t>2.2.4</t>
  </si>
  <si>
    <t>2.2.5</t>
  </si>
  <si>
    <t>2.4.3</t>
  </si>
  <si>
    <t>2.7.2</t>
  </si>
  <si>
    <t>2.9</t>
  </si>
  <si>
    <t>2.9.1</t>
  </si>
  <si>
    <t>3.1.1</t>
  </si>
  <si>
    <t>3.3.5</t>
  </si>
  <si>
    <t>ASEO GENERAL</t>
  </si>
  <si>
    <t>PROFORMA</t>
  </si>
  <si>
    <t xml:space="preserve">TRAZADO Y MOVIMIENTOS DE TIERRA </t>
  </si>
  <si>
    <t>4.1.1.1</t>
  </si>
  <si>
    <t>4.1.1.2</t>
  </si>
  <si>
    <t>4.1.1.3</t>
  </si>
  <si>
    <t>4.1.2.1</t>
  </si>
  <si>
    <t>4.1.2.2</t>
  </si>
  <si>
    <t>4.1.3.1</t>
  </si>
  <si>
    <t>4.1.3.2</t>
  </si>
  <si>
    <t>4.1.3.3</t>
  </si>
  <si>
    <t>4.1.3.4</t>
  </si>
  <si>
    <t>4.1.3.5</t>
  </si>
  <si>
    <t>4.1.4.2</t>
  </si>
  <si>
    <t>4.1.5</t>
  </si>
  <si>
    <t>4.1.5.1</t>
  </si>
  <si>
    <t>4.1.5.2</t>
  </si>
  <si>
    <t>4.1.6</t>
  </si>
  <si>
    <t>4.1.6.1</t>
  </si>
  <si>
    <t>4.1.6.2</t>
  </si>
  <si>
    <t>4.2.1.1</t>
  </si>
  <si>
    <t>4.2.1.2</t>
  </si>
  <si>
    <t>4.2.1.3</t>
  </si>
  <si>
    <t>4.3.1.1</t>
  </si>
  <si>
    <t>4.4.1</t>
  </si>
  <si>
    <t>4.4.1.1</t>
  </si>
  <si>
    <t>4.2.2.1</t>
  </si>
  <si>
    <t>4.2.3.1</t>
  </si>
  <si>
    <t>4.2.4.1</t>
  </si>
  <si>
    <t>4.2.5.1</t>
  </si>
  <si>
    <t>4.2.6</t>
  </si>
  <si>
    <t>4.2.6.1</t>
  </si>
  <si>
    <t>4.2.6.2</t>
  </si>
  <si>
    <t>4.3.1.2</t>
  </si>
  <si>
    <t>4.3.1.3</t>
  </si>
  <si>
    <t>4.3.2.1</t>
  </si>
  <si>
    <t>4.3.2.2</t>
  </si>
  <si>
    <t>4.3.3</t>
  </si>
  <si>
    <t>4.3.3.1</t>
  </si>
  <si>
    <t>4.3.4</t>
  </si>
  <si>
    <t>4.3.4.1</t>
  </si>
  <si>
    <t>4.3.4.2</t>
  </si>
  <si>
    <t>4.3.5</t>
  </si>
  <si>
    <t>4.3.5.1</t>
  </si>
  <si>
    <t>4.3.6</t>
  </si>
  <si>
    <t>4.3.6.1</t>
  </si>
  <si>
    <t>4.3.7</t>
  </si>
  <si>
    <t>4.3.7.1</t>
  </si>
  <si>
    <t>4.4.1.2</t>
  </si>
  <si>
    <t>4.4.1.3</t>
  </si>
  <si>
    <t>4.4.2</t>
  </si>
  <si>
    <t>4.4.2.1</t>
  </si>
  <si>
    <t>4.4.2.2</t>
  </si>
  <si>
    <t>4.4.2.3</t>
  </si>
  <si>
    <t>4.4.3</t>
  </si>
  <si>
    <t>4.4.3.1</t>
  </si>
  <si>
    <t>4.4.4.1</t>
  </si>
  <si>
    <t>4.4.4</t>
  </si>
  <si>
    <t>4.4.4.2</t>
  </si>
  <si>
    <t>4.4.4.3</t>
  </si>
  <si>
    <t>4.4.4.4</t>
  </si>
  <si>
    <t>4.5.1.1</t>
  </si>
  <si>
    <t>4.5.1.2</t>
  </si>
  <si>
    <t>4.5.2.1</t>
  </si>
  <si>
    <t>4.5.3.1</t>
  </si>
  <si>
    <t>4.5.4.1</t>
  </si>
  <si>
    <t>4.6.2</t>
  </si>
  <si>
    <t>4.6.3</t>
  </si>
  <si>
    <t>4.6.1.1</t>
  </si>
  <si>
    <t>4.6.1.2</t>
  </si>
  <si>
    <t>4.6.2.1</t>
  </si>
  <si>
    <t>4.6.2.2</t>
  </si>
  <si>
    <t>4.6.3.2</t>
  </si>
  <si>
    <t xml:space="preserve">CORRIENTES DEBILES </t>
  </si>
  <si>
    <t>DEMOLICIONES</t>
  </si>
  <si>
    <t>1.2.1</t>
  </si>
  <si>
    <t>1.3.1</t>
  </si>
  <si>
    <t>1.3.2</t>
  </si>
  <si>
    <t>1.3.3</t>
  </si>
  <si>
    <t>1.3.4</t>
  </si>
  <si>
    <t>1.3.5</t>
  </si>
  <si>
    <t>m³</t>
  </si>
  <si>
    <t>m²</t>
  </si>
  <si>
    <t>ml</t>
  </si>
  <si>
    <t xml:space="preserve">ESMALTE AL AGUA CIELO, BLANCO </t>
  </si>
  <si>
    <t>kg</t>
  </si>
  <si>
    <t xml:space="preserve">ENFIERRADURA </t>
  </si>
  <si>
    <t xml:space="preserve">RADIER DE HORMIGÓN e=12cm ACCESIBILIDAD </t>
  </si>
  <si>
    <t>0. VALOR PROFORMA ( incluye derechos y permisos municipales, empalme sanitario, empalme electrico y otros)</t>
  </si>
  <si>
    <t xml:space="preserve">0.1     </t>
  </si>
  <si>
    <t>0.2</t>
  </si>
  <si>
    <t>0.1.1</t>
  </si>
  <si>
    <t>0.2.1</t>
  </si>
  <si>
    <t>0.2.2</t>
  </si>
  <si>
    <t>0.2.3</t>
  </si>
  <si>
    <t>0.2.4</t>
  </si>
  <si>
    <t>0.2.5</t>
  </si>
  <si>
    <t>0.2.3.1</t>
  </si>
  <si>
    <t>0.2.3.2</t>
  </si>
  <si>
    <t xml:space="preserve">PROYECTO ELECTRICO TE1 SEC </t>
  </si>
  <si>
    <t>6.1</t>
  </si>
  <si>
    <t>SUB  TOTAL  PARCIAL 0</t>
  </si>
  <si>
    <t xml:space="preserve">GUARDAMURO PVC </t>
  </si>
  <si>
    <t>3.7.3</t>
  </si>
  <si>
    <t>ESMALTE AL AGUA MUROS INTERIORES BASE W 003</t>
  </si>
  <si>
    <t xml:space="preserve">EXTERIORES </t>
  </si>
  <si>
    <t>CIELOS</t>
  </si>
  <si>
    <t>INTERIORES</t>
  </si>
  <si>
    <t>PROYECTO</t>
  </si>
  <si>
    <t>PARTIDA EJECUTADA</t>
  </si>
  <si>
    <t>PSR VILUCO , BUIN.</t>
  </si>
  <si>
    <t>PRESUPUESTO OFICIAL_REPOSICIÓN DE POSTA RURAL VILUCO, COMUNA BUIN.</t>
  </si>
  <si>
    <t>CAMINO LAS ACACIAS N° 51 LOTE SC 5 S/N° AV. VILUCO (CAMINO PAINE LONQUEN
RUTA G-46 N° 6484),BUIN,METROPOLITANA</t>
  </si>
  <si>
    <t>REPOSICIÓN DE POSTA RURAL VILUCO, COMUNA BUIN</t>
  </si>
  <si>
    <t>5. ENTREGA DE OBRAS</t>
  </si>
  <si>
    <t xml:space="preserve">5.1     </t>
  </si>
  <si>
    <t>6.1.1.1</t>
  </si>
  <si>
    <t>6.1.1.2</t>
  </si>
  <si>
    <t>6.1.1.3</t>
  </si>
  <si>
    <t>6.3.1</t>
  </si>
  <si>
    <t>6.4.1</t>
  </si>
  <si>
    <t>6.5.1</t>
  </si>
  <si>
    <t>6.6.1</t>
  </si>
  <si>
    <t>6.7.1</t>
  </si>
  <si>
    <t>SECCIÓN A</t>
  </si>
  <si>
    <t>SECCIÓN B</t>
  </si>
  <si>
    <t>INCLUIDO EN GASTOS GENERALES</t>
  </si>
  <si>
    <t>1.1.5</t>
  </si>
  <si>
    <t>CIERRE PROVISORIO OPACO OSB 9,5mm</t>
  </si>
  <si>
    <t xml:space="preserve">EMPALME PROVISORIO A RED DE AGUA POTABLE </t>
  </si>
  <si>
    <t>POLIESTIRENO EXPANDIDO DE 50mm 20kg/m³</t>
  </si>
  <si>
    <t>POLIETILENO 2mm</t>
  </si>
  <si>
    <t>POLIESTIRENO EXPANDIDO DE 50mm 30kg/m³</t>
  </si>
  <si>
    <t>2.3.7</t>
  </si>
  <si>
    <t xml:space="preserve">ENMADERADO OSB TECHSHIELD PROTECT 15mm </t>
  </si>
  <si>
    <t xml:space="preserve">MEMBRANA HIDROFUGA </t>
  </si>
  <si>
    <t>FORROS D=50 cm</t>
  </si>
  <si>
    <t xml:space="preserve">MEMBRANA HIDRÓFUGA DE MURO </t>
  </si>
  <si>
    <t xml:space="preserve">INSTALACIÓN DE PORCELANATO LISCIO IVORY BLANCO MATE 60X60 cm ANTIDESLIZANTE VITE </t>
  </si>
  <si>
    <t xml:space="preserve">MEMBRANA HIDROFUGA TYPAR VOLCANWRAP </t>
  </si>
  <si>
    <t xml:space="preserve">EXCAVACIÓN, 0,80x0,50mt FUNDACIÓN CORRIDA </t>
  </si>
  <si>
    <t xml:space="preserve">PLANCHA ZINCALUM PV4 - AT4 0.50mm SIMILAR A TEJA G60m² </t>
  </si>
  <si>
    <t>2.8</t>
  </si>
  <si>
    <t>2.8.1</t>
  </si>
  <si>
    <t>2.8.2</t>
  </si>
  <si>
    <t>2.8.3</t>
  </si>
  <si>
    <t xml:space="preserve">INSTALACIÓN ZONAS HÚMEDAS DE GRES PORCELÁNICO ORBIT LIGHT GREY MATE 60X60 cm </t>
  </si>
  <si>
    <t xml:space="preserve">GUARDAPOLVO PORCELANATO LISCIO IVORY BLANCO MATE 10X60 cm ANTIDESLIZANTE VITE </t>
  </si>
  <si>
    <t>REVESTIMIENTO DE INTERIOR YESO CARTON RH 12,5 mm</t>
  </si>
  <si>
    <t xml:space="preserve">REVESTIMIENTO DE INTERIOR YESO CARTON RF 12,5mm </t>
  </si>
  <si>
    <t>REVESTIMIENTO PLANCHAS PERMANIT BASE CERÁMICA 8mm 120 x 240cm</t>
  </si>
  <si>
    <t>LIJADO DE JUNTAS</t>
  </si>
  <si>
    <t xml:space="preserve">AISLACIÓN TÉRMICA LANA DE VIDRIO 130 mm </t>
  </si>
  <si>
    <t>ZONAS HUMEDAS</t>
  </si>
  <si>
    <t>3.1.1.1</t>
  </si>
  <si>
    <t>3.1.1.2</t>
  </si>
  <si>
    <t>3.1.1.3</t>
  </si>
  <si>
    <t>MURO</t>
  </si>
  <si>
    <t>3.1.2.1</t>
  </si>
  <si>
    <t>3.1.2.2</t>
  </si>
  <si>
    <t>3.1.2.3</t>
  </si>
  <si>
    <t>3.1.3.1</t>
  </si>
  <si>
    <t xml:space="preserve">PISO </t>
  </si>
  <si>
    <t>REVESTIMIENTO</t>
  </si>
  <si>
    <t>3.1.3.2</t>
  </si>
  <si>
    <t>3.1.3.2.1</t>
  </si>
  <si>
    <t>PORCELANATOS</t>
  </si>
  <si>
    <t>3.2.1.1</t>
  </si>
  <si>
    <t>3.2.1.2</t>
  </si>
  <si>
    <t>3.2.1.3</t>
  </si>
  <si>
    <t>3.2.1.4</t>
  </si>
  <si>
    <t>GUARDAMURO PVC GMP-200</t>
  </si>
  <si>
    <t>3.2.2.1</t>
  </si>
  <si>
    <t>3.2.2.2</t>
  </si>
  <si>
    <t>3.2.2.3</t>
  </si>
  <si>
    <t xml:space="preserve">INSTALACIÓN DE ALERO TERCIADO RANURADO T1 12 mm 122 x 244 cm </t>
  </si>
  <si>
    <t xml:space="preserve">CORNISA DE MADERA h=60mm </t>
  </si>
  <si>
    <t>3.3.4</t>
  </si>
  <si>
    <t>PUERTA TERMOPANEL DE PVC BLANCO SANITARIO 6/12/6 CON BLINDEX P4 165 x 235 cm</t>
  </si>
  <si>
    <t>3.3.6</t>
  </si>
  <si>
    <t>3.3.7</t>
  </si>
  <si>
    <t>PUERTA EXTERIOR DE CELOSIA DE ACERO 2mm P6 90 x 200 cm CON CELOSIA SUPERIOR DE 35 x 90 cm</t>
  </si>
  <si>
    <t>PUERTA EXTERIOR DE CELOSIA DE ACERO 2mm P7 95 x 200 cm CON CELOSIA SUPERIOR DE 35 x 95 cm</t>
  </si>
  <si>
    <t xml:space="preserve">PUERTA ASEPTICA CON VIDRIO SUPERIOR Y CELOSIA DE ALUMINIO INFERIOR P2 115 x 262 cm  </t>
  </si>
  <si>
    <t xml:space="preserve">PUERTA DE ACCESO TERMOPANEL DE PVC BLANCO SANITARIO 6/12/6 CON BLINDEX P5 200 x 235 cm </t>
  </si>
  <si>
    <t>3.3.8</t>
  </si>
  <si>
    <t xml:space="preserve">MARCO G TELESCÓPICO AJUSTABLE A DIFERENTES ANCHOS DE TABIQUE SISTEMA KNOCK DOWN® ENRASADO AL TABIQUE </t>
  </si>
  <si>
    <t>3.5.1</t>
  </si>
  <si>
    <t>3.5.2</t>
  </si>
  <si>
    <t xml:space="preserve">CORNISA DE POLIESTIRENO h=60mm </t>
  </si>
  <si>
    <t xml:space="preserve">PINTURA ASÉPTICA </t>
  </si>
  <si>
    <t>3.6.2</t>
  </si>
  <si>
    <t>3.6.4</t>
  </si>
  <si>
    <t>3.6.5</t>
  </si>
  <si>
    <t>3.6.6</t>
  </si>
  <si>
    <t>3.6.7</t>
  </si>
  <si>
    <t xml:space="preserve">PINTURA EPOXICA ALTO TRÁFICO </t>
  </si>
  <si>
    <t>ANTICORROSIVO</t>
  </si>
  <si>
    <t xml:space="preserve">ESMALTE SINTETICO NEGRO </t>
  </si>
  <si>
    <t>3.6.8</t>
  </si>
  <si>
    <t xml:space="preserve">MOBILIARIO </t>
  </si>
  <si>
    <t>SHAFT</t>
  </si>
  <si>
    <t>SHAFT ELÉCTRICO</t>
  </si>
  <si>
    <t>CORTINAS METÁLICAS DE PROTECCIÓN PNAC / FARMACIA</t>
  </si>
  <si>
    <t>CORTINAS METÁLICAS DE PROTECCIÓN S.O.M.E.</t>
  </si>
  <si>
    <t>3.7.4</t>
  </si>
  <si>
    <t>3.7.4.1</t>
  </si>
  <si>
    <t>AGUA POTABLE</t>
  </si>
  <si>
    <t xml:space="preserve">SANITARIA FRIA </t>
  </si>
  <si>
    <t>SANITARIA CALIENTE</t>
  </si>
  <si>
    <t xml:space="preserve">CAÑERÍA CU 50 mm </t>
  </si>
  <si>
    <t xml:space="preserve">CAÑERÍA CU 38 mm </t>
  </si>
  <si>
    <t xml:space="preserve">CAÑERÍA CU 32 mm </t>
  </si>
  <si>
    <t xml:space="preserve">CAÑERÍA CU 25 mm </t>
  </si>
  <si>
    <t xml:space="preserve">CAÑERÍA CU 19 mm </t>
  </si>
  <si>
    <t xml:space="preserve">LLAVE DE PASO, TIPO BOLA PVC C/10 50 mm </t>
  </si>
  <si>
    <t xml:space="preserve">LLAVE DE PASO, TIPO BOLA BRONCE D=50 mm </t>
  </si>
  <si>
    <t>LLAVES DE PASO. VÁLVULA BOLA D=25 mm</t>
  </si>
  <si>
    <t>CAÑERÍA GAS CU TIPO L, D= 25 mm</t>
  </si>
  <si>
    <t>LLAVE DE PASO BOLA GAS 25  mm</t>
  </si>
  <si>
    <t>TUB. PVC SANIT. 110 mm</t>
  </si>
  <si>
    <t>TUB. PVC SANIT. 75 mm</t>
  </si>
  <si>
    <t>TUB. PVC SANIT. 40 mm</t>
  </si>
  <si>
    <t>LLAVE DE JARDÍN 13 mm</t>
  </si>
  <si>
    <t xml:space="preserve">GUARDA LLAVES PARA LLAVES DE PASO </t>
  </si>
  <si>
    <t>4.1.6.3</t>
  </si>
  <si>
    <t>CAÑERÍA CU TIPO L D= 38 mm</t>
  </si>
  <si>
    <t>CAÑERÍA CU TIPO L D= 32 mm</t>
  </si>
  <si>
    <t>CAÑERÍA CU TIPO L D= 25 mm</t>
  </si>
  <si>
    <t>CAÑERÍA CU TIPO L D= 19 mm</t>
  </si>
  <si>
    <t>LLAVE DE PASO</t>
  </si>
  <si>
    <t>4.1.7</t>
  </si>
  <si>
    <t>4.1.7.1</t>
  </si>
  <si>
    <t>LLAVE DE PASO, TIPO BOLA BRONCE D=32 mm</t>
  </si>
  <si>
    <t>LLAVE DE PASO, TIPO BOLA BRONCE D=38 mm</t>
  </si>
  <si>
    <t>4.1.7.2</t>
  </si>
  <si>
    <t>4.1.7.3</t>
  </si>
  <si>
    <t>4.1.7.4</t>
  </si>
  <si>
    <t>ESPUMA ELASTOMETRICA ESP. 9 mm D= 38 mm</t>
  </si>
  <si>
    <t>ESPUMA ELASTOMETRICA ESP. 9 mm D= 32 mm</t>
  </si>
  <si>
    <t>ESPUMA ELASTOMETRICA ESP. 9 mm D= 19 mm</t>
  </si>
  <si>
    <t>ESPUMA ELASTOMETRICA ESP. 9 mm D= 25 mm</t>
  </si>
  <si>
    <t>4.2.2.2</t>
  </si>
  <si>
    <t>GAS LICUADO</t>
  </si>
  <si>
    <t>CAÑERÍA GAS CU TIPO L, D= 19 mm</t>
  </si>
  <si>
    <t>LLAVE DE PASO BOLA GAS 19  mm</t>
  </si>
  <si>
    <t>VENTILACIONES</t>
  </si>
  <si>
    <t>ESTANQUE SUPERFICIAL 2 m³</t>
  </si>
  <si>
    <t>INSTALACIÓN DE ARTEFACTOS</t>
  </si>
  <si>
    <t>INSTALACIÓN DE ESTANQUE DE ACUMULACIÓN</t>
  </si>
  <si>
    <t>PRUEBAS</t>
  </si>
  <si>
    <t>PRUEBAS DE GAS</t>
  </si>
  <si>
    <t xml:space="preserve">TUB. PVC SANIT. 50 mm </t>
  </si>
  <si>
    <t>REGISTROS</t>
  </si>
  <si>
    <t>4.4.3.2</t>
  </si>
  <si>
    <t>PRUEBAS DE ALCANTARILLADO</t>
  </si>
  <si>
    <t>4.4.5</t>
  </si>
  <si>
    <t>4.4.5.1</t>
  </si>
  <si>
    <t xml:space="preserve">VENTILACIONES </t>
  </si>
  <si>
    <t>4.4.6</t>
  </si>
  <si>
    <t>4.4.6.1</t>
  </si>
  <si>
    <t>COCINA</t>
  </si>
  <si>
    <t>MUEBLE LAVAPLATOS IN SUTU CON CAJONERAS Y CUBIERTA DE CUARZO</t>
  </si>
  <si>
    <t>INSTALACION DE GRIFERÍA COCINA BRIZO EXTRAÍBLE 1 JET CROMO</t>
  </si>
  <si>
    <t>INSTALACION DE SIFON GRIFERÍA</t>
  </si>
  <si>
    <t>ARTEFACTOS BAÑOS</t>
  </si>
  <si>
    <t>ARTEFACTO DUCHAS</t>
  </si>
  <si>
    <t>RECEPTACULO DUCHA 80X80</t>
  </si>
  <si>
    <t>SHOWER DOOR DUCHA</t>
  </si>
  <si>
    <t>GRIFERÍA</t>
  </si>
  <si>
    <t>INSTALACIÓN LLAVE QUIRÚRGICA CUELLO DE CISNE</t>
  </si>
  <si>
    <t>INSTALACIÓN DE SIFON LAVAMANOS</t>
  </si>
  <si>
    <t>INSTALACIÓN DE LLAVE ANGULAR WC</t>
  </si>
  <si>
    <t>INSTALACIÓN COLUMNA DUCHA STELLAR 25cm BRUSHED KIPLEN</t>
  </si>
  <si>
    <t>4.4.7</t>
  </si>
  <si>
    <t>4.4.7.1</t>
  </si>
  <si>
    <t>4.4.7.2</t>
  </si>
  <si>
    <t>4.4.7.3</t>
  </si>
  <si>
    <t>ARTEFACTOS BOX</t>
  </si>
  <si>
    <t>4.4.7.7.1</t>
  </si>
  <si>
    <t>INSTALACIÓN DE LLAVE DE PASO LAVAMANOS</t>
  </si>
  <si>
    <t>INSTALACIÓN LLAVE MONOMANDO CUELLO CISNE GERONTOLÓGICO CROMADO</t>
  </si>
  <si>
    <t>INSTALACIÓN DE SIFON LAVADO PROFUNDO</t>
  </si>
  <si>
    <t>INSTALACIÓN DE LLAVE DE PASO LAVADO PROFUNDO</t>
  </si>
  <si>
    <t>INSTALACIÓN DE LLAVE DE PASO DE DUCHA</t>
  </si>
  <si>
    <t>INSTALACIÓN DE MANGUERA DE SALA REAS, CONECTADA A RED DE AGUA POTABLE.</t>
  </si>
  <si>
    <t>INSTALACIÓN DE BARRA DE SUJECION FIJA, ACCESIBILIDAD</t>
  </si>
  <si>
    <t>INSTALACIÓN DE ESPEJO 90X50cm</t>
  </si>
  <si>
    <t>INSTALACIÓN DE BARRA DE SUJECION ABATIBLE ACCESIBILIDAD</t>
  </si>
  <si>
    <t>INSTALACIÓN DE MUDADOR ABATIBLE ACCESIBILIDAD</t>
  </si>
  <si>
    <t xml:space="preserve">LAVAMANOS ACCESIBLE WHITMAN DE BRIGGS </t>
  </si>
  <si>
    <t>WC A PISO PARA FLUXOR EXPUESTO CON FLUXOMETRO</t>
  </si>
  <si>
    <t>WC A PISO PARA FLUXOR EXPUESTO  CON FLUXOMETRO, ACCESIBILIDAD</t>
  </si>
  <si>
    <t>INSTALACIÓN DE LAVAMANOS CON PEDESTAL</t>
  </si>
  <si>
    <t xml:space="preserve">INSTALACIÓN LAVAFONDO 1 TAZA MODELO VENELP-70 MARCA VENTUS 70x60x85 </t>
  </si>
  <si>
    <t xml:space="preserve">ACCESORIOS </t>
  </si>
  <si>
    <t>LUMINARIA 2X18 W A/E</t>
  </si>
  <si>
    <t>LUMINARIA 3X30 W A/E</t>
  </si>
  <si>
    <t>CINTA LED 4000K ROLLO 5 MTS</t>
  </si>
  <si>
    <t>EQUIPO DE EMERGENCIA LED 10.5W 6500K IP65 LEXO</t>
  </si>
  <si>
    <t xml:space="preserve">LUMINARIA PÚBLICA ATLANTIS 90W LUZ CÁLIDA </t>
  </si>
  <si>
    <t>LUMINARIA LED PAGODA ISLAND 60W</t>
  </si>
  <si>
    <t>ACOMETIDA DE MT (SUMINISTRO Y MONTAJE)</t>
  </si>
  <si>
    <t>EMPALME EN BAJA TENSIÓN</t>
  </si>
  <si>
    <t>MEDIDOR BT MULTITARIFA</t>
  </si>
  <si>
    <t>ALIMENTADOR GENERAL</t>
  </si>
  <si>
    <t>CANALIZACIÓN</t>
  </si>
  <si>
    <t>TABLEROS GENERALES, TABLEROS DE DISTRIBUCIÓN Y TABLEROS DE COMPUTACIÓN</t>
  </si>
  <si>
    <t>TABLERO T.D.F.A Y COMPUTACIÓN</t>
  </si>
  <si>
    <t>CANALIZACIONES (SUMINISTRO Y MONTAJE)</t>
  </si>
  <si>
    <t>BANDEJA RANURADA 300 x 50mm GALVANIZADA - SIN TAPA (3 METROS)</t>
  </si>
  <si>
    <t>DISTRIBUCIÓN ELÉCTRICA</t>
  </si>
  <si>
    <t>CENTROS DE ALUMBRADO (INCLUYE CANALIZACIÓN, ARTEFACTOS, CABLEADO, ETC)</t>
  </si>
  <si>
    <t>CENTROS ALUMBRADO INTERIOR</t>
  </si>
  <si>
    <t>CENTROS ALUMBRADO EXTERIOR A INFRAESTRUCTURA</t>
  </si>
  <si>
    <t xml:space="preserve">CENTROS ALUMBRADO AREAS VERDES LUMINARIAS ORNAMENTALES </t>
  </si>
  <si>
    <t xml:space="preserve">CENTROS ALUMBRADO AREAS VERDES LUMINARIAS VIALES </t>
  </si>
  <si>
    <t>CENTROS ENCHUFES 250 W</t>
  </si>
  <si>
    <t>CENTROS ENCHUFES AACC</t>
  </si>
  <si>
    <t>4.5.2.2</t>
  </si>
  <si>
    <t xml:space="preserve">LETREROS EXTERIORES  </t>
  </si>
  <si>
    <t xml:space="preserve">LETRERO ACCESIBILIDAD </t>
  </si>
  <si>
    <t xml:space="preserve">LETRERO EXTERIOR CON LETRAS ILUMINADAS </t>
  </si>
  <si>
    <t>SEÑALÉTICAS</t>
  </si>
  <si>
    <t>4.6.4</t>
  </si>
  <si>
    <t>4.6.4.1</t>
  </si>
  <si>
    <t>4.8</t>
  </si>
  <si>
    <t>4.8.1</t>
  </si>
  <si>
    <t>4.8.1.1</t>
  </si>
  <si>
    <t>4.8.1.2</t>
  </si>
  <si>
    <t>4.8.1.3</t>
  </si>
  <si>
    <t xml:space="preserve">ACOMETIDA DE BT (VALOR PROFORMA) </t>
  </si>
  <si>
    <t xml:space="preserve">LUMINARIA PHILIPS HERMÉTICO  2X30 W ESTANCO SOBREPUESTO </t>
  </si>
  <si>
    <t>APLIQUÉ MURO PHILIPS HEDGEHOG IP44 NEGRO</t>
  </si>
  <si>
    <t>EVACUACIÓN DE PUERTAS</t>
  </si>
  <si>
    <t>SEÑALÉTICA IDENTIFICACIÓN</t>
  </si>
  <si>
    <t>SEÑALÉTICA DE PUERTAS Y TÁCTIL</t>
  </si>
  <si>
    <t>LECTOR DE HUELLAS DIGITAL Q0</t>
  </si>
  <si>
    <t xml:space="preserve">PUESTA EN MARCHA </t>
  </si>
  <si>
    <t>SUMINISTRO E INSTALACIÓN AIRE ACONDICIONADO INVERTER DE 24000 BTU</t>
  </si>
  <si>
    <t>4.8.1.4</t>
  </si>
  <si>
    <t xml:space="preserve">CONFECCIÓN DE CIERRE PERIMETRAL </t>
  </si>
  <si>
    <t xml:space="preserve">PLANCHA ZINCALUM PV4 - AT4 0.50mm NEGRRA G60m² </t>
  </si>
  <si>
    <t>BASE DE PAVIMENTOS</t>
  </si>
  <si>
    <t>6.3.1.2</t>
  </si>
  <si>
    <t>6.4.1.1</t>
  </si>
  <si>
    <t>6.4.1.2</t>
  </si>
  <si>
    <t>6.5.1.1</t>
  </si>
  <si>
    <t>6.5.1.2</t>
  </si>
  <si>
    <t>6.5.1.3</t>
  </si>
  <si>
    <t>6.5.1.4</t>
  </si>
  <si>
    <t xml:space="preserve">AISLACIÓN TÉRMICA LANA DE VIDRIO 130mm </t>
  </si>
  <si>
    <t>6.6.1.1</t>
  </si>
  <si>
    <t>6.6.1.2</t>
  </si>
  <si>
    <t>6.7.1.1</t>
  </si>
  <si>
    <t>6.7.1.2</t>
  </si>
  <si>
    <t>6.8.1</t>
  </si>
  <si>
    <t>6.8.1.1</t>
  </si>
  <si>
    <t>6.9.1</t>
  </si>
  <si>
    <t>6.9.1.1</t>
  </si>
  <si>
    <t>6.9.1.3</t>
  </si>
  <si>
    <t xml:space="preserve">CELOSÍA DE VENTILACIÓN FIJA 80x150cm </t>
  </si>
  <si>
    <t>CASETA GRUPO ELECTRÓGENO</t>
  </si>
  <si>
    <t xml:space="preserve">ENMADERADO OSB TECHSHIELD PROTECT 11.1mm </t>
  </si>
  <si>
    <t>6.5.1.5</t>
  </si>
  <si>
    <t>6.5.1.5.1</t>
  </si>
  <si>
    <t>6.5.1.5.2</t>
  </si>
  <si>
    <t>6.5.1.5.3</t>
  </si>
  <si>
    <t>6.7.1.3</t>
  </si>
  <si>
    <t>6.9.1.2</t>
  </si>
  <si>
    <t xml:space="preserve">INSTALACIÓN DE TERCIADO RANURADO T1 12 mm 122 x 244 cm </t>
  </si>
  <si>
    <t xml:space="preserve">CORONACIÓN TECHUMBRE  AT-4 FE GALVANIZADO D=80cm </t>
  </si>
  <si>
    <t xml:space="preserve">TAPACAN </t>
  </si>
  <si>
    <t xml:space="preserve">PUERTA ASEPTICA CON CELOSIA DE ALUMINIO SUPERIOR E INFERIOR P3 80 x 262 cm </t>
  </si>
  <si>
    <t>2.1.6</t>
  </si>
  <si>
    <t>FUNDACIÓN AISLADA</t>
  </si>
  <si>
    <t>2.1.6.1</t>
  </si>
  <si>
    <t>2.1.6.2</t>
  </si>
  <si>
    <t>2.1.6.3</t>
  </si>
  <si>
    <t>DADO DE FUNDACIÓN PARA UNIÓN DE ACERO (CON MOLDAJE Y ENFIERRADURA)</t>
  </si>
  <si>
    <t>2.1.6.4</t>
  </si>
  <si>
    <t xml:space="preserve">UNIÓN DE ACERO, PARA FUNDACION </t>
  </si>
  <si>
    <t>2.1.5</t>
  </si>
  <si>
    <t>1.3.6</t>
  </si>
  <si>
    <t>EXCAVACION DE FUNDACIÓN AISLADA 0,3x0,4m (PILARES)</t>
  </si>
  <si>
    <t>MOBILIARIO ACCESIBLE (MESON DE ATENCIÓN) PNAC / FARMACIA /  S.O.M.E.</t>
  </si>
  <si>
    <t>GRIFERIA ACCESIBILIDAD</t>
  </si>
  <si>
    <t>DIMAO</t>
  </si>
  <si>
    <t>CALEFONT 16 LITROS</t>
  </si>
  <si>
    <t>SUB - ALIMENTADOR TIPO RV-K 4c 1x35 mm2</t>
  </si>
  <si>
    <t>SUB - ALIMENTADOR TIPO  RV-K 2c 1x10 mm2</t>
  </si>
  <si>
    <t>ARRANQUES (Tierra servicio, Tierra protección, Tierra computación)</t>
  </si>
  <si>
    <t>MEDICIÓN ESTUDIO Y DISEÑO DE MALLA TIERRA DE PROTECCIÓN (MT y BT)</t>
  </si>
  <si>
    <t>SUBTERRANEAS EXTERIORES</t>
  </si>
  <si>
    <t>CAMARAS ELÉCTRICA TIPO C</t>
  </si>
  <si>
    <t>TUBO PVC SHEDULE  40</t>
  </si>
  <si>
    <t>CANALIZACIONES SUBTERRANEAS</t>
  </si>
  <si>
    <t>SUMINISTRO Y MONTAJE GRUPO ELECTRÓGENO DIESEL INSONORIZADO  95 KVA / 70 kw</t>
  </si>
  <si>
    <t>SUMINISTRO Y MONTAJE TTA PARA GENERADOR DIESEL 95 KVA Stand By , 400 Volts.</t>
  </si>
  <si>
    <t>SUMINISTRO E INSTALACIÓN DE POSTE CONICO ALUMBRADO 5m AC. GALVANIZADO CANALIZACIÓN SOTERRADA CON POYO</t>
  </si>
  <si>
    <t>EMPALME ELÉCTRICO</t>
  </si>
  <si>
    <t>CONDUCTOR ELÉCTRICO</t>
  </si>
  <si>
    <t xml:space="preserve">CANALIZACION SOTERRADA INCLIYE CCTV </t>
  </si>
  <si>
    <t xml:space="preserve">SUMINISTRO E INSTALACIÓN MALLA A TIERRA B.T SEGÚN CALCULO </t>
  </si>
  <si>
    <t>GENERALIDADES</t>
  </si>
  <si>
    <t>ASEO, ENTREGA Y PLANOS AS BUILT</t>
  </si>
  <si>
    <t>PLANOS AS BUILT Y ANTECEDENTES DEL PROYECTO</t>
  </si>
  <si>
    <t>SOLICITUD DE CONEXIÓN</t>
  </si>
  <si>
    <t>DOCUMENTACIÓN</t>
  </si>
  <si>
    <t>INSCRIPCIO SEC Y TRAMITACIÓN</t>
  </si>
  <si>
    <t>PROYECTO, TRAMITACIONES Y APROBACIONES</t>
  </si>
  <si>
    <t>DECLARACIÓN TE-1</t>
  </si>
  <si>
    <t>4.1.2.3</t>
  </si>
  <si>
    <t>4.1.2.4</t>
  </si>
  <si>
    <t>4.1.2.5</t>
  </si>
  <si>
    <t>4.1.5.3</t>
  </si>
  <si>
    <t>4.1.5.4</t>
  </si>
  <si>
    <t xml:space="preserve">LLAVE DE PASO, GLOBO BRONCE D= 20 mm </t>
  </si>
  <si>
    <t>LLAVE DE PASO, GLOBO BRONCE D= 20 mm</t>
  </si>
  <si>
    <t>RADIER DE HORMIGÓN e=10cm</t>
  </si>
  <si>
    <t>MALLA ACMA ACERO C139</t>
  </si>
  <si>
    <t>VIGA ACERO GALVANIZADO U 92CA085</t>
  </si>
  <si>
    <t>PERFIL ACERO GALVANIZADO C 90CA085</t>
  </si>
  <si>
    <t>VENTANAS Y PUERTAS</t>
  </si>
  <si>
    <t xml:space="preserve">PUERTA EXTERIOR DE CELOSIA DE ACERO 2mm P9 162 x 200 cm </t>
  </si>
  <si>
    <t>6.8.1.2</t>
  </si>
  <si>
    <t>INSTALACIÓN DE EXTRACTOR DE AIRE DE 0,16 m²</t>
  </si>
  <si>
    <t>BARRERA DE HUMEDAD (POLIETILENO 0,2mm)</t>
  </si>
  <si>
    <t xml:space="preserve">PERFIL ACERO GALVANIZADO C 60CA085 </t>
  </si>
  <si>
    <t>PERFIL ACERO GALVANIZADO U 62CA085</t>
  </si>
  <si>
    <t>BARRERA DE HUMEDAD (POLIETILENO 0,2mm, FUNDACIONES PILARES)</t>
  </si>
  <si>
    <t>POLIETILENO 0,2mm</t>
  </si>
  <si>
    <t xml:space="preserve">PLANCHA ZINCALUM PV4 - AT4 0.50mm G60m² </t>
  </si>
  <si>
    <t>CORTA GOTERAS PERIMETRAL (SUPERIOR E INFERIOR)</t>
  </si>
  <si>
    <t>ENMADERADO OSB 11,1 mm</t>
  </si>
  <si>
    <t xml:space="preserve">PROTECCIÓN CONTRA LA MADERA </t>
  </si>
  <si>
    <t xml:space="preserve">RELLENO DE ZANJAS </t>
  </si>
  <si>
    <t>2.4.1.1</t>
  </si>
  <si>
    <t>ARMAZONES ESTRUCTURALES</t>
  </si>
  <si>
    <t>SOLERAS ACERO GALVANIZADO U 92CA085</t>
  </si>
  <si>
    <t>2.4.1.2</t>
  </si>
  <si>
    <t>2.4.1.3</t>
  </si>
  <si>
    <t>2.4.1.4</t>
  </si>
  <si>
    <t>2.4.1.5</t>
  </si>
  <si>
    <t>PILARES ESTRUCTURALES</t>
  </si>
  <si>
    <t>PERFIL  ACERO GALVANIZADO U 92CA085</t>
  </si>
  <si>
    <t>2.5.1.1</t>
  </si>
  <si>
    <t>2.5.1.2</t>
  </si>
  <si>
    <t>2.5.1.3</t>
  </si>
  <si>
    <t>2.5.1.4</t>
  </si>
  <si>
    <t>2.5.1.5</t>
  </si>
  <si>
    <t>2.5.1.6</t>
  </si>
  <si>
    <t>ESTRUCTURA ACCESO</t>
  </si>
  <si>
    <t xml:space="preserve">PILAR TUBULAR ESTRUCTURAL DE ACERO 150X150X3mm </t>
  </si>
  <si>
    <t xml:space="preserve">VIGA TUBULAR ESTRUCTURAL DE ACERO 100X100X3mm </t>
  </si>
  <si>
    <t>ESTRUCTURA ALERO LATERAL</t>
  </si>
  <si>
    <t>2.4.2.1</t>
  </si>
  <si>
    <t>PILAR TUBULAR ESTRUCTURAL DE ACERO 100X100X4mm</t>
  </si>
  <si>
    <t>2.4.1.3.1</t>
  </si>
  <si>
    <t>2.4.2.2</t>
  </si>
  <si>
    <t>2.4.3.1</t>
  </si>
  <si>
    <t>2.4.3.2</t>
  </si>
  <si>
    <t>2.7.4</t>
  </si>
  <si>
    <t>REVESTIMIENTO PLANCHAS VOLCANBOARD FACHADA 10mm 120 x 240cm</t>
  </si>
  <si>
    <t>3.5.2.1</t>
  </si>
  <si>
    <t>REFUERZO DE MUROS</t>
  </si>
  <si>
    <t xml:space="preserve">REVESTIMIENTO DE EXTERIOR EIFS SOBRE TABIQUE </t>
  </si>
  <si>
    <t>SUMINISTRO E INSTALACIÓ AIRE ACONDICIONADO INVERTER DE 9000 BTU</t>
  </si>
  <si>
    <t xml:space="preserve">ENMADERADO OSB TECHSHIELD PROTECT 11mm </t>
  </si>
  <si>
    <t>2.2.6</t>
  </si>
  <si>
    <t>2.2.7</t>
  </si>
  <si>
    <t>HORMIGÓN SOBRECIMIENTO e=15cm</t>
  </si>
  <si>
    <t>HORMIGÓN SOBRECIMIENTO e=13cm</t>
  </si>
  <si>
    <t>HORMIGÓN SOBRECIMIENTO e=18cm</t>
  </si>
  <si>
    <t>RADIER DE HORMIGÓN e=18cm  SERVICIOS</t>
  </si>
  <si>
    <t>PERFIL  ACERO GALVANIZADO, SOLERAS U 92CA085</t>
  </si>
  <si>
    <t>PERFIL ACERO GALVANIZADO, SOLERAS  U 62CA085</t>
  </si>
  <si>
    <t>2.4.1.6</t>
  </si>
  <si>
    <t>PERFIL  ACERO GALVANIZADO, VIGA U 62CA085</t>
  </si>
  <si>
    <t>PERFIL  ACERO GALVANIZADO, VIGA U 92CA085</t>
  </si>
  <si>
    <t>2.4.1.7</t>
  </si>
  <si>
    <t>2.4.1.7.1</t>
  </si>
  <si>
    <t>2.4.1.7.2</t>
  </si>
  <si>
    <t>2.4.1.7.3</t>
  </si>
  <si>
    <t>2.4.1.7.4</t>
  </si>
  <si>
    <t>2.4.1.8</t>
  </si>
  <si>
    <t>2.4.1.8.1</t>
  </si>
  <si>
    <t>2.5.1.7</t>
  </si>
  <si>
    <t xml:space="preserve">VIGA ACERO GALVANIZADO U 60CA085 </t>
  </si>
  <si>
    <t>2.4.1.8.2</t>
  </si>
  <si>
    <t xml:space="preserve">BARRA DE VAPOR VOLCANWRAP </t>
  </si>
  <si>
    <t xml:space="preserve">VENTANAS SOBRE PUERTA TERMOPANEL DE PVC BLANCO SANITARIO  6/12/7 CON BLINDEX </t>
  </si>
  <si>
    <t xml:space="preserve">VENTANAS TERMOPANEL DE PVC BLANCO SANITARIO  6/12/7 CON LOW-E EMPAVONADAS </t>
  </si>
  <si>
    <t>PORCELANTO DE MURO BLANCO PULIDO 30x60 cm KIPLEN</t>
  </si>
  <si>
    <t>REVESTIMIENTO DE INTERIOR YESO CARTON RF 12,5 mm</t>
  </si>
  <si>
    <t>6.1.1.4</t>
  </si>
  <si>
    <t>6.1.1.5</t>
  </si>
  <si>
    <t>EJECUTADO</t>
  </si>
  <si>
    <t>PENDIENTE</t>
  </si>
  <si>
    <t>0.1.2</t>
  </si>
  <si>
    <t xml:space="preserve">PUERTA ASEPTICA CON VIDRIO SUPERIOR Y CELOSIA DE ALUMINIO INFERIOR P1 90 x 262 cm </t>
  </si>
  <si>
    <t xml:space="preserve">MARCO DE ACERO 2mm ENRASADO AL TABIQUE </t>
  </si>
  <si>
    <t>3.3.9</t>
  </si>
  <si>
    <t>ESMALTE AL AGUA EXTERIOR COLOR A DEFINIR POR EL ITO, ACABADO GRANULADO FINO</t>
  </si>
  <si>
    <t>4.2.4.2</t>
  </si>
  <si>
    <t>4.2.5.2</t>
  </si>
  <si>
    <t>4.2.7</t>
  </si>
  <si>
    <t>4.2.7.1</t>
  </si>
  <si>
    <t>4.2.8</t>
  </si>
  <si>
    <t>4.2.8.1</t>
  </si>
  <si>
    <t>4.3.2.3</t>
  </si>
  <si>
    <t>4.3.2.4</t>
  </si>
  <si>
    <t>4.3.3.2</t>
  </si>
  <si>
    <t>4.3.4.3</t>
  </si>
  <si>
    <t>4.3.4.4</t>
  </si>
  <si>
    <t>4.3.7.1.1</t>
  </si>
  <si>
    <t>4.3.7.2</t>
  </si>
  <si>
    <t>4.3.7.2.1</t>
  </si>
  <si>
    <t>4.3.7.2.2</t>
  </si>
  <si>
    <t>4.3.7.3</t>
  </si>
  <si>
    <t>4.3.7.3.1</t>
  </si>
  <si>
    <t>4.3.7.3.2</t>
  </si>
  <si>
    <t>4.3.7.3.3</t>
  </si>
  <si>
    <t>4.3.7.3.4</t>
  </si>
  <si>
    <t>4.3.7.3.5</t>
  </si>
  <si>
    <t>4.4.7.3.5.1</t>
  </si>
  <si>
    <t>4.4.7.3.5.2</t>
  </si>
  <si>
    <t>4.3.7.4</t>
  </si>
  <si>
    <t>4.3.7.4.1</t>
  </si>
  <si>
    <t>4.3.7.4.2</t>
  </si>
  <si>
    <t>4.3.7.5</t>
  </si>
  <si>
    <t>4.3.7.5.1</t>
  </si>
  <si>
    <t>4.3.7.5.2</t>
  </si>
  <si>
    <t>4.3.7.5.3</t>
  </si>
  <si>
    <t>4.3.7.5.4</t>
  </si>
  <si>
    <t>4.3.7.5.5</t>
  </si>
  <si>
    <t>4.3.7.5.6</t>
  </si>
  <si>
    <t>4.3.7.5.7</t>
  </si>
  <si>
    <t>4.3.7.5.8</t>
  </si>
  <si>
    <t>4.3.7.5.9</t>
  </si>
  <si>
    <t>4.3.7.5.10</t>
  </si>
  <si>
    <t>4.3.7.6</t>
  </si>
  <si>
    <t>4.3.7.6.1</t>
  </si>
  <si>
    <t>4.3.7.6.2</t>
  </si>
  <si>
    <t>4.3.7.6.3</t>
  </si>
  <si>
    <t>4.3.7.6.4</t>
  </si>
  <si>
    <t>4.3.7.6.5</t>
  </si>
  <si>
    <t>4.3.7.7</t>
  </si>
  <si>
    <t>4.4.1.4</t>
  </si>
  <si>
    <t>4.4.3.3</t>
  </si>
  <si>
    <t>4.4.4.5</t>
  </si>
  <si>
    <t>4.4.4.6</t>
  </si>
  <si>
    <t>4.4.4.7</t>
  </si>
  <si>
    <t>4.4.4.8</t>
  </si>
  <si>
    <t>4.4.4.9</t>
  </si>
  <si>
    <t>4.4.4.10</t>
  </si>
  <si>
    <t>4.4.5.1.1</t>
  </si>
  <si>
    <t>4.4.5.1.2</t>
  </si>
  <si>
    <t>4.4.5.1.3</t>
  </si>
  <si>
    <t>4.4.5.1.4</t>
  </si>
  <si>
    <t>4.4.5.1.5</t>
  </si>
  <si>
    <t>4.4.5.1.6</t>
  </si>
  <si>
    <t>4.4.6.2</t>
  </si>
  <si>
    <t>4.4.6.3</t>
  </si>
  <si>
    <t>4.4.6.3.1</t>
  </si>
  <si>
    <t>4.4.6.3.2</t>
  </si>
  <si>
    <t>4.4.6.3.3</t>
  </si>
  <si>
    <t>4.4.8</t>
  </si>
  <si>
    <t>4.4.8.1</t>
  </si>
  <si>
    <t>4.4.8.2</t>
  </si>
  <si>
    <t>4.4.8.3</t>
  </si>
  <si>
    <t>4.4.8.4</t>
  </si>
  <si>
    <t>4.4.9</t>
  </si>
  <si>
    <t>4.4.9.1</t>
  </si>
  <si>
    <t>4.4.9.2</t>
  </si>
  <si>
    <t>4.4.9.2.1</t>
  </si>
  <si>
    <t>4.4.9.3</t>
  </si>
  <si>
    <t>4.4.9.3.1</t>
  </si>
  <si>
    <t>4.4.9.3.2</t>
  </si>
  <si>
    <t>4.4.9.3.3</t>
  </si>
  <si>
    <t>4.6.1.3</t>
  </si>
  <si>
    <t>4.6.1.4</t>
  </si>
  <si>
    <t>4.6.2.3</t>
  </si>
  <si>
    <t>4.6.2.4</t>
  </si>
  <si>
    <t>4.6.3.1</t>
  </si>
  <si>
    <t>4.6.3.3</t>
  </si>
  <si>
    <t>4.6.3.4</t>
  </si>
  <si>
    <t>IMPLEMENTACIÓN SISTEMAS DE CCTV</t>
  </si>
  <si>
    <t>4.7.5.1</t>
  </si>
  <si>
    <t>4.7.5.2</t>
  </si>
  <si>
    <t>4.6.5</t>
  </si>
  <si>
    <t>CANALIZACION DE SISTEMA CCTV</t>
  </si>
  <si>
    <t>OFICINAS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</si>
</sst>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2" formatCode="_ &quot;$&quot;* #,##0_ ;_ &quot;$&quot;* \-#,##0_ ;_ &quot;$&quot;* &quot;-&quot;_ ;_ @_ "/>
    <numFmt numFmtId="164" formatCode="_-&quot;$&quot;\ * #,##0.00_-;\-&quot;$&quot;\ * #,##0.00_-;_-&quot;$&quot;\ * &quot;-&quot;??_-;_-@_-"/>
    <numFmt numFmtId="165" formatCode="#,##0;[Red]#,##0"/>
    <numFmt numFmtId="166" formatCode="_-&quot;$&quot;\ * #,##0_-;\-&quot;$&quot;\ * #,##0_-;_-&quot;$&quot;\ * &quot;-&quot;??_-;_-@_-"/>
    <numFmt numFmtId="167" formatCode="&quot; $ &quot;* #,##0.00\ ;&quot;-$ &quot;* #,##0.00\ ;&quot; $ &quot;* \-#\ ;\ @\ "/>
    <numFmt numFmtId="168" formatCode="0\ %"/>
    <numFmt numFmtId="169" formatCode="_-[$$-340A]\ * #,##0_-;\-[$$-340A]\ * #,##0_-;_-[$$-340A]\ * &quot;-&quot;??_-;_-@_-"/>
    <numFmt numFmtId="170" formatCode="&quot;$&quot;#,##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Ebrima"/>
    </font>
    <font>
      <sz val="11"/>
      <color rgb="FF262626"/>
      <name val="Ebrima"/>
    </font>
    <font>
      <b/>
      <sz val="11"/>
      <color rgb="FF262626"/>
      <name val="Ebrima"/>
    </font>
    <font>
      <sz val="11"/>
      <name val="Ebrima"/>
    </font>
    <font>
      <b/>
      <sz val="11"/>
      <color theme="1"/>
      <name val="Ebrima"/>
    </font>
    <font>
      <sz val="11"/>
      <color theme="1"/>
      <name val="Ebrima"/>
    </font>
    <font>
      <b/>
      <sz val="11"/>
      <name val="Ebrima"/>
    </font>
    <font>
      <sz val="11"/>
      <color rgb="FF000000"/>
      <name val="Ebrima"/>
    </font>
    <font>
      <sz val="11"/>
      <color rgb="FF006100"/>
      <name val="Calibri"/>
      <family val="2"/>
      <scheme val="minor"/>
    </font>
    <font>
      <sz val="12"/>
      <name val="Times New Roman"/>
      <family val="1"/>
    </font>
    <font>
      <sz val="8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C6EFCE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6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3" fillId="0" borderId="0"/>
    <xf numFmtId="167" fontId="3" fillId="0" borderId="0" applyBorder="0" applyProtection="0"/>
    <xf numFmtId="42" fontId="2" fillId="0" borderId="0" applyBorder="0" applyAlignment="0" applyProtection="0"/>
    <xf numFmtId="168" fontId="3" fillId="0" borderId="0" applyBorder="0" applyProtection="0"/>
    <xf numFmtId="167" fontId="3" fillId="0" borderId="0" applyBorder="0" applyProtection="0"/>
    <xf numFmtId="42" fontId="2" fillId="0" borderId="0" applyBorder="0" applyAlignment="0" applyProtection="0"/>
    <xf numFmtId="42" fontId="1" fillId="0" borderId="0" applyFont="0" applyFill="0" applyBorder="0" applyAlignment="0" applyProtection="0"/>
    <xf numFmtId="0" fontId="12" fillId="8" borderId="0" applyNumberFormat="0" applyBorder="0" applyAlignment="0" applyProtection="0"/>
    <xf numFmtId="42" fontId="1" fillId="0" borderId="0" applyFont="0" applyFill="0" applyBorder="0" applyAlignment="0" applyProtection="0"/>
    <xf numFmtId="0" fontId="13" fillId="0" borderId="0" quotePrefix="1"/>
  </cellStyleXfs>
  <cellXfs count="305">
    <xf numFmtId="0" fontId="0" fillId="0" borderId="0" xfId="0"/>
    <xf numFmtId="0" fontId="7" fillId="0" borderId="0" xfId="3" applyFont="1" applyProtection="1">
      <protection hidden="1"/>
    </xf>
    <xf numFmtId="0" fontId="7" fillId="0" borderId="0" xfId="3" applyFont="1" applyAlignment="1" applyProtection="1">
      <alignment horizontal="left"/>
      <protection hidden="1"/>
    </xf>
    <xf numFmtId="0" fontId="7" fillId="0" borderId="0" xfId="3" applyFont="1" applyAlignment="1" applyProtection="1">
      <alignment horizontal="center"/>
      <protection hidden="1"/>
    </xf>
    <xf numFmtId="0" fontId="7" fillId="0" borderId="1" xfId="3" applyFont="1" applyBorder="1" applyProtection="1">
      <protection hidden="1"/>
    </xf>
    <xf numFmtId="0" fontId="8" fillId="0" borderId="2" xfId="3" applyFont="1" applyBorder="1" applyAlignment="1" applyProtection="1">
      <alignment horizontal="center" vertical="center"/>
      <protection hidden="1"/>
    </xf>
    <xf numFmtId="0" fontId="8" fillId="0" borderId="3" xfId="3" applyFont="1" applyBorder="1" applyAlignment="1" applyProtection="1">
      <alignment horizontal="center" vertical="center"/>
      <protection hidden="1"/>
    </xf>
    <xf numFmtId="0" fontId="8" fillId="0" borderId="12" xfId="3" applyFont="1" applyBorder="1" applyProtection="1">
      <protection hidden="1"/>
    </xf>
    <xf numFmtId="0" fontId="9" fillId="0" borderId="0" xfId="3" applyFont="1" applyAlignment="1" applyProtection="1">
      <alignment horizontal="left"/>
      <protection hidden="1"/>
    </xf>
    <xf numFmtId="0" fontId="9" fillId="0" borderId="0" xfId="3" applyFont="1" applyProtection="1">
      <protection hidden="1"/>
    </xf>
    <xf numFmtId="0" fontId="9" fillId="0" borderId="0" xfId="3" applyFont="1" applyAlignment="1" applyProtection="1">
      <alignment horizontal="left" vertical="center"/>
      <protection hidden="1"/>
    </xf>
    <xf numFmtId="17" fontId="9" fillId="0" borderId="0" xfId="3" applyNumberFormat="1" applyFont="1" applyAlignment="1" applyProtection="1">
      <alignment horizontal="left"/>
      <protection hidden="1"/>
    </xf>
    <xf numFmtId="0" fontId="8" fillId="0" borderId="4" xfId="3" applyFont="1" applyBorder="1" applyProtection="1">
      <protection hidden="1"/>
    </xf>
    <xf numFmtId="0" fontId="9" fillId="0" borderId="5" xfId="3" applyFont="1" applyBorder="1" applyAlignment="1" applyProtection="1">
      <alignment horizontal="left"/>
      <protection hidden="1"/>
    </xf>
    <xf numFmtId="0" fontId="9" fillId="0" borderId="5" xfId="3" applyFont="1" applyBorder="1" applyProtection="1">
      <protection hidden="1"/>
    </xf>
    <xf numFmtId="0" fontId="8" fillId="0" borderId="17" xfId="3" applyFont="1" applyBorder="1" applyAlignment="1" applyProtection="1">
      <alignment horizontal="left"/>
      <protection hidden="1"/>
    </xf>
    <xf numFmtId="0" fontId="8" fillId="0" borderId="18" xfId="3" applyFont="1" applyBorder="1" applyAlignment="1" applyProtection="1">
      <alignment horizontal="left"/>
      <protection hidden="1"/>
    </xf>
    <xf numFmtId="0" fontId="8" fillId="0" borderId="19" xfId="3" applyFont="1" applyBorder="1" applyAlignment="1" applyProtection="1">
      <alignment horizontal="left"/>
      <protection hidden="1"/>
    </xf>
    <xf numFmtId="0" fontId="10" fillId="0" borderId="19" xfId="3" applyFont="1" applyBorder="1" applyAlignment="1" applyProtection="1">
      <alignment horizontal="center"/>
      <protection hidden="1"/>
    </xf>
    <xf numFmtId="165" fontId="10" fillId="0" borderId="19" xfId="3" applyNumberFormat="1" applyFont="1" applyBorder="1" applyAlignment="1" applyProtection="1">
      <alignment horizontal="center" vertical="center"/>
      <protection hidden="1"/>
    </xf>
    <xf numFmtId="165" fontId="8" fillId="0" borderId="20" xfId="3" applyNumberFormat="1" applyFont="1" applyBorder="1" applyAlignment="1" applyProtection="1">
      <alignment horizontal="center"/>
      <protection hidden="1"/>
    </xf>
    <xf numFmtId="166" fontId="7" fillId="0" borderId="0" xfId="1" applyNumberFormat="1" applyFont="1" applyFill="1" applyBorder="1" applyAlignment="1" applyProtection="1">
      <alignment horizontal="right"/>
      <protection hidden="1"/>
    </xf>
    <xf numFmtId="166" fontId="9" fillId="0" borderId="0" xfId="1" applyNumberFormat="1" applyFont="1" applyFill="1" applyBorder="1" applyAlignment="1" applyProtection="1">
      <alignment horizontal="right"/>
      <protection hidden="1"/>
    </xf>
    <xf numFmtId="0" fontId="8" fillId="0" borderId="0" xfId="3" applyFont="1" applyAlignment="1" applyProtection="1">
      <alignment vertical="center" wrapText="1"/>
      <protection hidden="1"/>
    </xf>
    <xf numFmtId="0" fontId="8" fillId="0" borderId="0" xfId="3" applyFont="1" applyAlignment="1" applyProtection="1">
      <alignment horizontal="left" wrapText="1"/>
      <protection hidden="1"/>
    </xf>
    <xf numFmtId="166" fontId="8" fillId="0" borderId="34" xfId="1" applyNumberFormat="1" applyFont="1" applyFill="1" applyBorder="1" applyAlignment="1" applyProtection="1">
      <alignment horizontal="right"/>
      <protection hidden="1"/>
    </xf>
    <xf numFmtId="0" fontId="9" fillId="0" borderId="10" xfId="3" applyFont="1" applyBorder="1" applyAlignment="1" applyProtection="1">
      <alignment horizontal="left"/>
      <protection hidden="1"/>
    </xf>
    <xf numFmtId="0" fontId="9" fillId="2" borderId="10" xfId="3" applyFont="1" applyFill="1" applyBorder="1" applyAlignment="1" applyProtection="1">
      <alignment horizontal="left"/>
      <protection hidden="1"/>
    </xf>
    <xf numFmtId="0" fontId="7" fillId="0" borderId="10" xfId="4" applyFont="1" applyBorder="1" applyAlignment="1">
      <alignment horizontal="left" vertical="center"/>
    </xf>
    <xf numFmtId="0" fontId="9" fillId="0" borderId="10" xfId="3" applyFont="1" applyBorder="1" applyProtection="1">
      <protection hidden="1"/>
    </xf>
    <xf numFmtId="0" fontId="8" fillId="0" borderId="0" xfId="3" applyFont="1" applyAlignment="1" applyProtection="1">
      <alignment horizontal="left" vertical="center" wrapText="1"/>
      <protection hidden="1"/>
    </xf>
    <xf numFmtId="0" fontId="8" fillId="0" borderId="12" xfId="3" applyFont="1" applyBorder="1" applyAlignment="1" applyProtection="1">
      <alignment vertical="center" wrapText="1"/>
      <protection hidden="1"/>
    </xf>
    <xf numFmtId="0" fontId="8" fillId="0" borderId="0" xfId="3" applyFont="1" applyAlignment="1" applyProtection="1">
      <alignment horizontal="center"/>
      <protection hidden="1"/>
    </xf>
    <xf numFmtId="166" fontId="8" fillId="0" borderId="0" xfId="1" applyNumberFormat="1" applyFont="1" applyFill="1" applyBorder="1" applyAlignment="1" applyProtection="1">
      <alignment horizontal="right"/>
      <protection hidden="1"/>
    </xf>
    <xf numFmtId="0" fontId="8" fillId="0" borderId="0" xfId="3" applyFont="1" applyAlignment="1" applyProtection="1">
      <alignment vertical="center"/>
      <protection hidden="1"/>
    </xf>
    <xf numFmtId="166" fontId="10" fillId="0" borderId="7" xfId="1" applyNumberFormat="1" applyFont="1" applyFill="1" applyBorder="1" applyAlignment="1" applyProtection="1">
      <alignment horizontal="right"/>
      <protection hidden="1"/>
    </xf>
    <xf numFmtId="166" fontId="8" fillId="0" borderId="22" xfId="1" applyNumberFormat="1" applyFont="1" applyFill="1" applyBorder="1" applyAlignment="1" applyProtection="1">
      <alignment horizontal="right"/>
      <protection hidden="1"/>
    </xf>
    <xf numFmtId="9" fontId="7" fillId="0" borderId="9" xfId="2" applyFont="1" applyFill="1" applyBorder="1" applyAlignment="1" applyProtection="1">
      <alignment horizontal="center"/>
      <protection hidden="1"/>
    </xf>
    <xf numFmtId="166" fontId="7" fillId="0" borderId="9" xfId="1" applyNumberFormat="1" applyFont="1" applyFill="1" applyBorder="1" applyAlignment="1" applyProtection="1">
      <alignment horizontal="right"/>
      <protection hidden="1"/>
    </xf>
    <xf numFmtId="166" fontId="8" fillId="0" borderId="23" xfId="1" applyNumberFormat="1" applyFont="1" applyFill="1" applyBorder="1" applyAlignment="1" applyProtection="1">
      <alignment horizontal="right"/>
      <protection hidden="1"/>
    </xf>
    <xf numFmtId="166" fontId="10" fillId="0" borderId="9" xfId="1" applyNumberFormat="1" applyFont="1" applyFill="1" applyBorder="1" applyAlignment="1" applyProtection="1">
      <alignment horizontal="right"/>
      <protection hidden="1"/>
    </xf>
    <xf numFmtId="9" fontId="7" fillId="0" borderId="21" xfId="2" applyFont="1" applyFill="1" applyBorder="1" applyAlignment="1" applyProtection="1">
      <alignment horizontal="center"/>
      <protection hidden="1"/>
    </xf>
    <xf numFmtId="166" fontId="7" fillId="0" borderId="21" xfId="1" applyNumberFormat="1" applyFont="1" applyFill="1" applyBorder="1" applyAlignment="1" applyProtection="1">
      <alignment horizontal="right"/>
      <protection hidden="1"/>
    </xf>
    <xf numFmtId="166" fontId="8" fillId="0" borderId="27" xfId="1" applyNumberFormat="1" applyFont="1" applyFill="1" applyBorder="1" applyAlignment="1" applyProtection="1">
      <alignment horizontal="right"/>
      <protection hidden="1"/>
    </xf>
    <xf numFmtId="166" fontId="10" fillId="0" borderId="36" xfId="1" applyNumberFormat="1" applyFont="1" applyFill="1" applyBorder="1" applyAlignment="1" applyProtection="1">
      <alignment horizontal="right"/>
      <protection hidden="1"/>
    </xf>
    <xf numFmtId="0" fontId="7" fillId="0" borderId="9" xfId="3" applyFont="1" applyBorder="1" applyAlignment="1" applyProtection="1">
      <alignment horizontal="center"/>
      <protection hidden="1"/>
    </xf>
    <xf numFmtId="2" fontId="7" fillId="0" borderId="9" xfId="3" applyNumberFormat="1" applyFont="1" applyBorder="1" applyAlignment="1" applyProtection="1">
      <alignment horizontal="center"/>
      <protection hidden="1"/>
    </xf>
    <xf numFmtId="0" fontId="7" fillId="2" borderId="9" xfId="3" applyFont="1" applyFill="1" applyBorder="1" applyAlignment="1" applyProtection="1">
      <alignment horizontal="center"/>
      <protection hidden="1"/>
    </xf>
    <xf numFmtId="166" fontId="7" fillId="2" borderId="9" xfId="1" applyNumberFormat="1" applyFont="1" applyFill="1" applyBorder="1" applyAlignment="1" applyProtection="1">
      <alignment horizontal="right"/>
      <protection hidden="1"/>
    </xf>
    <xf numFmtId="166" fontId="9" fillId="2" borderId="9" xfId="1" applyNumberFormat="1" applyFont="1" applyFill="1" applyBorder="1" applyAlignment="1" applyProtection="1">
      <alignment horizontal="right"/>
      <protection hidden="1"/>
    </xf>
    <xf numFmtId="2" fontId="10" fillId="0" borderId="19" xfId="3" applyNumberFormat="1" applyFont="1" applyBorder="1" applyAlignment="1" applyProtection="1">
      <alignment horizontal="center"/>
      <protection hidden="1"/>
    </xf>
    <xf numFmtId="2" fontId="7" fillId="0" borderId="0" xfId="3" applyNumberFormat="1" applyFont="1" applyAlignment="1" applyProtection="1">
      <alignment horizontal="center"/>
      <protection hidden="1"/>
    </xf>
    <xf numFmtId="166" fontId="9" fillId="0" borderId="23" xfId="1" applyNumberFormat="1" applyFont="1" applyFill="1" applyBorder="1" applyAlignment="1" applyProtection="1">
      <alignment horizontal="right"/>
      <protection hidden="1"/>
    </xf>
    <xf numFmtId="166" fontId="7" fillId="0" borderId="41" xfId="1" applyNumberFormat="1" applyFont="1" applyFill="1" applyBorder="1" applyAlignment="1" applyProtection="1">
      <alignment horizontal="right"/>
      <protection hidden="1"/>
    </xf>
    <xf numFmtId="0" fontId="8" fillId="3" borderId="31" xfId="3" applyFont="1" applyFill="1" applyBorder="1" applyAlignment="1" applyProtection="1">
      <alignment horizontal="left"/>
      <protection hidden="1"/>
    </xf>
    <xf numFmtId="0" fontId="7" fillId="3" borderId="9" xfId="3" applyFont="1" applyFill="1" applyBorder="1" applyAlignment="1" applyProtection="1">
      <alignment horizontal="center"/>
      <protection hidden="1"/>
    </xf>
    <xf numFmtId="166" fontId="7" fillId="3" borderId="9" xfId="1" applyNumberFormat="1" applyFont="1" applyFill="1" applyBorder="1" applyAlignment="1" applyProtection="1">
      <alignment horizontal="right"/>
      <protection hidden="1"/>
    </xf>
    <xf numFmtId="0" fontId="8" fillId="3" borderId="32" xfId="3" applyFont="1" applyFill="1" applyBorder="1" applyAlignment="1" applyProtection="1">
      <alignment horizontal="left"/>
      <protection hidden="1"/>
    </xf>
    <xf numFmtId="0" fontId="8" fillId="3" borderId="31" xfId="3" applyFont="1" applyFill="1" applyBorder="1" applyProtection="1">
      <protection hidden="1"/>
    </xf>
    <xf numFmtId="0" fontId="8" fillId="3" borderId="28" xfId="3" applyFont="1" applyFill="1" applyBorder="1" applyProtection="1">
      <protection hidden="1"/>
    </xf>
    <xf numFmtId="2" fontId="7" fillId="3" borderId="9" xfId="3" applyNumberFormat="1" applyFont="1" applyFill="1" applyBorder="1" applyAlignment="1" applyProtection="1">
      <alignment horizontal="center"/>
      <protection hidden="1"/>
    </xf>
    <xf numFmtId="0" fontId="8" fillId="3" borderId="32" xfId="3" applyFont="1" applyFill="1" applyBorder="1" applyAlignment="1" applyProtection="1">
      <alignment horizontal="left" vertical="center" wrapText="1"/>
      <protection hidden="1"/>
    </xf>
    <xf numFmtId="0" fontId="8" fillId="3" borderId="10" xfId="3" applyFont="1" applyFill="1" applyBorder="1" applyAlignment="1" applyProtection="1">
      <alignment horizontal="left"/>
      <protection hidden="1"/>
    </xf>
    <xf numFmtId="0" fontId="8" fillId="3" borderId="31" xfId="3" applyFont="1" applyFill="1" applyBorder="1" applyAlignment="1" applyProtection="1">
      <alignment horizontal="left" vertical="center" wrapText="1"/>
      <protection hidden="1"/>
    </xf>
    <xf numFmtId="0" fontId="8" fillId="3" borderId="10" xfId="3" applyFont="1" applyFill="1" applyBorder="1" applyProtection="1">
      <protection hidden="1"/>
    </xf>
    <xf numFmtId="0" fontId="8" fillId="4" borderId="32" xfId="3" applyFont="1" applyFill="1" applyBorder="1" applyAlignment="1" applyProtection="1">
      <alignment horizontal="left" vertical="center" wrapText="1"/>
      <protection hidden="1"/>
    </xf>
    <xf numFmtId="0" fontId="8" fillId="4" borderId="10" xfId="3" applyFont="1" applyFill="1" applyBorder="1" applyAlignment="1" applyProtection="1">
      <alignment horizontal="left"/>
      <protection hidden="1"/>
    </xf>
    <xf numFmtId="2" fontId="7" fillId="4" borderId="9" xfId="3" applyNumberFormat="1" applyFont="1" applyFill="1" applyBorder="1" applyAlignment="1" applyProtection="1">
      <alignment horizontal="center"/>
      <protection hidden="1"/>
    </xf>
    <xf numFmtId="166" fontId="7" fillId="4" borderId="9" xfId="1" applyNumberFormat="1" applyFont="1" applyFill="1" applyBorder="1" applyAlignment="1" applyProtection="1">
      <alignment horizontal="right"/>
      <protection hidden="1"/>
    </xf>
    <xf numFmtId="0" fontId="8" fillId="4" borderId="10" xfId="3" applyFont="1" applyFill="1" applyBorder="1" applyAlignment="1" applyProtection="1">
      <alignment horizontal="left" vertical="center" wrapText="1"/>
      <protection hidden="1"/>
    </xf>
    <xf numFmtId="0" fontId="7" fillId="0" borderId="8" xfId="3" applyFont="1" applyBorder="1" applyAlignment="1" applyProtection="1">
      <alignment horizontal="center"/>
      <protection hidden="1"/>
    </xf>
    <xf numFmtId="0" fontId="9" fillId="0" borderId="32" xfId="3" applyFont="1" applyBorder="1" applyProtection="1">
      <protection hidden="1"/>
    </xf>
    <xf numFmtId="0" fontId="8" fillId="3" borderId="32" xfId="3" applyFont="1" applyFill="1" applyBorder="1" applyProtection="1">
      <protection hidden="1"/>
    </xf>
    <xf numFmtId="0" fontId="9" fillId="0" borderId="38" xfId="3" applyFont="1" applyBorder="1" applyProtection="1">
      <protection hidden="1"/>
    </xf>
    <xf numFmtId="0" fontId="7" fillId="3" borderId="42" xfId="3" applyFont="1" applyFill="1" applyBorder="1" applyAlignment="1" applyProtection="1">
      <alignment horizontal="center"/>
      <protection hidden="1"/>
    </xf>
    <xf numFmtId="0" fontId="7" fillId="3" borderId="7" xfId="3" applyFont="1" applyFill="1" applyBorder="1" applyAlignment="1" applyProtection="1">
      <alignment horizontal="center"/>
      <protection hidden="1"/>
    </xf>
    <xf numFmtId="166" fontId="7" fillId="3" borderId="7" xfId="1" applyNumberFormat="1" applyFont="1" applyFill="1" applyBorder="1" applyAlignment="1" applyProtection="1">
      <alignment horizontal="right"/>
      <protection hidden="1"/>
    </xf>
    <xf numFmtId="166" fontId="9" fillId="3" borderId="22" xfId="1" applyNumberFormat="1" applyFont="1" applyFill="1" applyBorder="1" applyAlignment="1" applyProtection="1">
      <alignment horizontal="right"/>
      <protection hidden="1"/>
    </xf>
    <xf numFmtId="0" fontId="7" fillId="0" borderId="39" xfId="3" applyFont="1" applyBorder="1" applyAlignment="1" applyProtection="1">
      <alignment horizontal="center"/>
      <protection hidden="1"/>
    </xf>
    <xf numFmtId="0" fontId="7" fillId="3" borderId="39" xfId="3" applyFont="1" applyFill="1" applyBorder="1" applyAlignment="1" applyProtection="1">
      <alignment horizontal="center"/>
      <protection hidden="1"/>
    </xf>
    <xf numFmtId="166" fontId="9" fillId="3" borderId="23" xfId="1" applyNumberFormat="1" applyFont="1" applyFill="1" applyBorder="1" applyAlignment="1" applyProtection="1">
      <alignment horizontal="right"/>
      <protection hidden="1"/>
    </xf>
    <xf numFmtId="0" fontId="7" fillId="0" borderId="43" xfId="3" applyFont="1" applyBorder="1" applyAlignment="1" applyProtection="1">
      <alignment horizontal="center"/>
      <protection hidden="1"/>
    </xf>
    <xf numFmtId="2" fontId="7" fillId="0" borderId="41" xfId="3" applyNumberFormat="1" applyFont="1" applyBorder="1" applyAlignment="1" applyProtection="1">
      <alignment horizontal="center"/>
      <protection hidden="1"/>
    </xf>
    <xf numFmtId="166" fontId="9" fillId="0" borderId="44" xfId="1" applyNumberFormat="1" applyFont="1" applyFill="1" applyBorder="1" applyAlignment="1" applyProtection="1">
      <alignment horizontal="right"/>
      <protection hidden="1"/>
    </xf>
    <xf numFmtId="0" fontId="9" fillId="0" borderId="32" xfId="3" applyFont="1" applyBorder="1" applyAlignment="1" applyProtection="1">
      <alignment horizontal="left"/>
      <protection hidden="1"/>
    </xf>
    <xf numFmtId="0" fontId="9" fillId="0" borderId="33" xfId="3" applyFont="1" applyBorder="1" applyAlignment="1" applyProtection="1">
      <alignment horizontal="left"/>
      <protection hidden="1"/>
    </xf>
    <xf numFmtId="2" fontId="7" fillId="3" borderId="7" xfId="3" applyNumberFormat="1" applyFont="1" applyFill="1" applyBorder="1" applyAlignment="1" applyProtection="1">
      <alignment horizontal="center"/>
      <protection hidden="1"/>
    </xf>
    <xf numFmtId="0" fontId="8" fillId="3" borderId="22" xfId="3" applyFont="1" applyFill="1" applyBorder="1" applyProtection="1">
      <protection hidden="1"/>
    </xf>
    <xf numFmtId="166" fontId="9" fillId="2" borderId="23" xfId="1" applyNumberFormat="1" applyFont="1" applyFill="1" applyBorder="1" applyAlignment="1" applyProtection="1">
      <alignment horizontal="right"/>
      <protection hidden="1"/>
    </xf>
    <xf numFmtId="166" fontId="9" fillId="4" borderId="23" xfId="1" applyNumberFormat="1" applyFont="1" applyFill="1" applyBorder="1" applyAlignment="1" applyProtection="1">
      <alignment horizontal="right"/>
      <protection hidden="1"/>
    </xf>
    <xf numFmtId="0" fontId="9" fillId="2" borderId="32" xfId="3" applyFont="1" applyFill="1" applyBorder="1" applyAlignment="1" applyProtection="1">
      <alignment horizontal="left" vertical="center" wrapText="1"/>
      <protection hidden="1"/>
    </xf>
    <xf numFmtId="0" fontId="9" fillId="0" borderId="32" xfId="3" applyFont="1" applyBorder="1" applyAlignment="1" applyProtection="1">
      <alignment horizontal="left" vertical="center" wrapText="1"/>
      <protection hidden="1"/>
    </xf>
    <xf numFmtId="0" fontId="10" fillId="3" borderId="7" xfId="3" applyFont="1" applyFill="1" applyBorder="1" applyProtection="1">
      <protection hidden="1"/>
    </xf>
    <xf numFmtId="0" fontId="9" fillId="3" borderId="32" xfId="3" applyFont="1" applyFill="1" applyBorder="1" applyAlignment="1" applyProtection="1">
      <alignment horizontal="left"/>
      <protection hidden="1"/>
    </xf>
    <xf numFmtId="166" fontId="8" fillId="5" borderId="16" xfId="1" applyNumberFormat="1" applyFont="1" applyFill="1" applyBorder="1" applyAlignment="1" applyProtection="1">
      <alignment horizontal="right"/>
      <protection hidden="1"/>
    </xf>
    <xf numFmtId="0" fontId="10" fillId="3" borderId="42" xfId="3" applyFont="1" applyFill="1" applyBorder="1" applyProtection="1">
      <protection hidden="1"/>
    </xf>
    <xf numFmtId="0" fontId="7" fillId="2" borderId="39" xfId="3" applyFont="1" applyFill="1" applyBorder="1" applyAlignment="1" applyProtection="1">
      <alignment horizontal="center"/>
      <protection hidden="1"/>
    </xf>
    <xf numFmtId="0" fontId="7" fillId="4" borderId="39" xfId="3" applyFont="1" applyFill="1" applyBorder="1" applyAlignment="1" applyProtection="1">
      <alignment horizontal="center"/>
      <protection hidden="1"/>
    </xf>
    <xf numFmtId="0" fontId="7" fillId="2" borderId="43" xfId="3" applyFont="1" applyFill="1" applyBorder="1" applyAlignment="1" applyProtection="1">
      <alignment horizontal="center"/>
      <protection hidden="1"/>
    </xf>
    <xf numFmtId="0" fontId="7" fillId="0" borderId="40" xfId="3" applyFont="1" applyBorder="1" applyAlignment="1" applyProtection="1">
      <alignment horizontal="center"/>
      <protection hidden="1"/>
    </xf>
    <xf numFmtId="2" fontId="7" fillId="3" borderId="39" xfId="3" applyNumberFormat="1" applyFont="1" applyFill="1" applyBorder="1" applyAlignment="1" applyProtection="1">
      <alignment horizontal="center"/>
      <protection hidden="1"/>
    </xf>
    <xf numFmtId="0" fontId="8" fillId="0" borderId="2" xfId="3" applyFont="1" applyBorder="1" applyAlignment="1" applyProtection="1">
      <alignment horizontal="left"/>
      <protection hidden="1"/>
    </xf>
    <xf numFmtId="0" fontId="8" fillId="0" borderId="3" xfId="3" applyFont="1" applyBorder="1" applyAlignment="1" applyProtection="1">
      <alignment horizontal="left"/>
      <protection hidden="1"/>
    </xf>
    <xf numFmtId="0" fontId="10" fillId="0" borderId="45" xfId="3" applyFont="1" applyBorder="1" applyAlignment="1" applyProtection="1">
      <alignment horizontal="center"/>
      <protection hidden="1"/>
    </xf>
    <xf numFmtId="2" fontId="10" fillId="0" borderId="46" xfId="3" applyNumberFormat="1" applyFont="1" applyBorder="1" applyAlignment="1" applyProtection="1">
      <alignment horizontal="center"/>
      <protection hidden="1"/>
    </xf>
    <xf numFmtId="165" fontId="10" fillId="0" borderId="46" xfId="3" applyNumberFormat="1" applyFont="1" applyBorder="1" applyAlignment="1" applyProtection="1">
      <alignment horizontal="center" vertical="center"/>
      <protection hidden="1"/>
    </xf>
    <xf numFmtId="165" fontId="8" fillId="0" borderId="47" xfId="3" applyNumberFormat="1" applyFont="1" applyBorder="1" applyAlignment="1" applyProtection="1">
      <alignment horizontal="center"/>
      <protection hidden="1"/>
    </xf>
    <xf numFmtId="0" fontId="8" fillId="0" borderId="24" xfId="3" applyFont="1" applyBorder="1" applyProtection="1">
      <protection hidden="1"/>
    </xf>
    <xf numFmtId="166" fontId="10" fillId="0" borderId="34" xfId="3" applyNumberFormat="1" applyFont="1" applyBorder="1" applyProtection="1">
      <protection hidden="1"/>
    </xf>
    <xf numFmtId="0" fontId="9" fillId="0" borderId="0" xfId="3" applyFont="1" applyAlignment="1" applyProtection="1">
      <alignment horizontal="left" vertical="center" wrapText="1"/>
      <protection hidden="1"/>
    </xf>
    <xf numFmtId="0" fontId="9" fillId="0" borderId="33" xfId="3" applyFont="1" applyBorder="1" applyAlignment="1" applyProtection="1">
      <alignment horizontal="left" vertical="center" wrapText="1"/>
      <protection hidden="1"/>
    </xf>
    <xf numFmtId="2" fontId="7" fillId="9" borderId="9" xfId="3" applyNumberFormat="1" applyFont="1" applyFill="1" applyBorder="1" applyAlignment="1" applyProtection="1">
      <alignment horizontal="center"/>
      <protection hidden="1"/>
    </xf>
    <xf numFmtId="166" fontId="7" fillId="9" borderId="9" xfId="1" applyNumberFormat="1" applyFont="1" applyFill="1" applyBorder="1" applyAlignment="1" applyProtection="1">
      <alignment horizontal="right"/>
      <protection hidden="1"/>
    </xf>
    <xf numFmtId="166" fontId="9" fillId="9" borderId="23" xfId="1" applyNumberFormat="1" applyFont="1" applyFill="1" applyBorder="1" applyAlignment="1" applyProtection="1">
      <alignment horizontal="right"/>
      <protection hidden="1"/>
    </xf>
    <xf numFmtId="2" fontId="7" fillId="10" borderId="9" xfId="3" applyNumberFormat="1" applyFont="1" applyFill="1" applyBorder="1" applyAlignment="1" applyProtection="1">
      <alignment horizontal="center"/>
      <protection hidden="1"/>
    </xf>
    <xf numFmtId="166" fontId="7" fillId="10" borderId="9" xfId="1" applyNumberFormat="1" applyFont="1" applyFill="1" applyBorder="1" applyAlignment="1" applyProtection="1">
      <alignment horizontal="right"/>
      <protection hidden="1"/>
    </xf>
    <xf numFmtId="166" fontId="9" fillId="10" borderId="23" xfId="1" applyNumberFormat="1" applyFont="1" applyFill="1" applyBorder="1" applyAlignment="1" applyProtection="1">
      <alignment horizontal="right"/>
      <protection hidden="1"/>
    </xf>
    <xf numFmtId="0" fontId="8" fillId="10" borderId="32" xfId="3" applyFont="1" applyFill="1" applyBorder="1" applyAlignment="1" applyProtection="1">
      <alignment horizontal="left" vertical="center" wrapText="1"/>
      <protection hidden="1"/>
    </xf>
    <xf numFmtId="0" fontId="8" fillId="3" borderId="53" xfId="3" applyFont="1" applyFill="1" applyBorder="1" applyAlignment="1" applyProtection="1">
      <alignment horizontal="left" vertical="center" wrapText="1"/>
      <protection hidden="1"/>
    </xf>
    <xf numFmtId="2" fontId="7" fillId="3" borderId="54" xfId="3" applyNumberFormat="1" applyFont="1" applyFill="1" applyBorder="1" applyAlignment="1" applyProtection="1">
      <alignment horizontal="center"/>
      <protection hidden="1"/>
    </xf>
    <xf numFmtId="166" fontId="7" fillId="3" borderId="54" xfId="1" applyNumberFormat="1" applyFont="1" applyFill="1" applyBorder="1" applyAlignment="1" applyProtection="1">
      <alignment horizontal="right"/>
      <protection hidden="1"/>
    </xf>
    <xf numFmtId="166" fontId="9" fillId="3" borderId="50" xfId="1" applyNumberFormat="1" applyFont="1" applyFill="1" applyBorder="1" applyAlignment="1" applyProtection="1">
      <alignment horizontal="right"/>
      <protection hidden="1"/>
    </xf>
    <xf numFmtId="0" fontId="8" fillId="4" borderId="53" xfId="3" applyFont="1" applyFill="1" applyBorder="1" applyAlignment="1" applyProtection="1">
      <alignment horizontal="left" vertical="center" wrapText="1"/>
      <protection hidden="1"/>
    </xf>
    <xf numFmtId="2" fontId="7" fillId="4" borderId="54" xfId="3" applyNumberFormat="1" applyFont="1" applyFill="1" applyBorder="1" applyAlignment="1" applyProtection="1">
      <alignment horizontal="center"/>
      <protection hidden="1"/>
    </xf>
    <xf numFmtId="166" fontId="7" fillId="4" borderId="54" xfId="1" applyNumberFormat="1" applyFont="1" applyFill="1" applyBorder="1" applyAlignment="1" applyProtection="1">
      <alignment horizontal="right"/>
      <protection hidden="1"/>
    </xf>
    <xf numFmtId="166" fontId="9" fillId="4" borderId="50" xfId="1" applyNumberFormat="1" applyFont="1" applyFill="1" applyBorder="1" applyAlignment="1" applyProtection="1">
      <alignment horizontal="right"/>
      <protection hidden="1"/>
    </xf>
    <xf numFmtId="0" fontId="8" fillId="3" borderId="28" xfId="3" applyFont="1" applyFill="1" applyBorder="1" applyAlignment="1" applyProtection="1">
      <alignment horizontal="left"/>
      <protection hidden="1"/>
    </xf>
    <xf numFmtId="0" fontId="8" fillId="4" borderId="56" xfId="3" applyFont="1" applyFill="1" applyBorder="1" applyAlignment="1" applyProtection="1">
      <alignment horizontal="left"/>
      <protection hidden="1"/>
    </xf>
    <xf numFmtId="0" fontId="9" fillId="2" borderId="29" xfId="3" applyFont="1" applyFill="1" applyBorder="1" applyAlignment="1" applyProtection="1">
      <alignment horizontal="left"/>
      <protection hidden="1"/>
    </xf>
    <xf numFmtId="0" fontId="7" fillId="4" borderId="40" xfId="3" applyFont="1" applyFill="1" applyBorder="1" applyAlignment="1" applyProtection="1">
      <alignment horizontal="center"/>
      <protection hidden="1"/>
    </xf>
    <xf numFmtId="0" fontId="8" fillId="3" borderId="12" xfId="3" applyFont="1" applyFill="1" applyBorder="1" applyAlignment="1" applyProtection="1">
      <alignment horizontal="left" wrapText="1"/>
      <protection hidden="1"/>
    </xf>
    <xf numFmtId="0" fontId="7" fillId="3" borderId="40" xfId="3" applyFont="1" applyFill="1" applyBorder="1" applyAlignment="1" applyProtection="1">
      <alignment horizontal="center"/>
      <protection hidden="1"/>
    </xf>
    <xf numFmtId="0" fontId="9" fillId="2" borderId="35" xfId="3" applyFont="1" applyFill="1" applyBorder="1" applyAlignment="1" applyProtection="1">
      <alignment horizontal="left"/>
      <protection hidden="1"/>
    </xf>
    <xf numFmtId="0" fontId="8" fillId="10" borderId="10" xfId="3" applyFont="1" applyFill="1" applyBorder="1" applyAlignment="1" applyProtection="1">
      <alignment horizontal="left"/>
      <protection hidden="1"/>
    </xf>
    <xf numFmtId="0" fontId="7" fillId="10" borderId="39" xfId="3" applyFont="1" applyFill="1" applyBorder="1" applyAlignment="1" applyProtection="1">
      <alignment horizontal="center"/>
      <protection hidden="1"/>
    </xf>
    <xf numFmtId="0" fontId="8" fillId="10" borderId="53" xfId="3" applyFont="1" applyFill="1" applyBorder="1" applyAlignment="1" applyProtection="1">
      <alignment horizontal="left" vertical="center" wrapText="1"/>
      <protection hidden="1"/>
    </xf>
    <xf numFmtId="0" fontId="7" fillId="0" borderId="9" xfId="11" applyFont="1" applyFill="1" applyBorder="1" applyAlignment="1">
      <alignment horizontal="center" vertical="center"/>
    </xf>
    <xf numFmtId="166" fontId="7" fillId="0" borderId="9" xfId="11" applyNumberFormat="1" applyFont="1" applyFill="1" applyBorder="1" applyAlignment="1">
      <alignment vertical="top" wrapText="1"/>
    </xf>
    <xf numFmtId="169" fontId="7" fillId="0" borderId="23" xfId="11" applyNumberFormat="1" applyFont="1" applyFill="1" applyBorder="1" applyAlignment="1">
      <alignment horizontal="right"/>
    </xf>
    <xf numFmtId="0" fontId="7" fillId="0" borderId="55" xfId="11" applyFont="1" applyFill="1" applyBorder="1" applyAlignment="1">
      <alignment horizontal="center" vertical="center"/>
    </xf>
    <xf numFmtId="166" fontId="7" fillId="0" borderId="54" xfId="11" applyNumberFormat="1" applyFont="1" applyFill="1" applyBorder="1" applyAlignment="1">
      <alignment vertical="top" wrapText="1"/>
    </xf>
    <xf numFmtId="0" fontId="7" fillId="0" borderId="21" xfId="11" applyFont="1" applyFill="1" applyBorder="1" applyAlignment="1">
      <alignment horizontal="center" vertical="center"/>
    </xf>
    <xf numFmtId="166" fontId="7" fillId="4" borderId="23" xfId="1" applyNumberFormat="1" applyFont="1" applyFill="1" applyBorder="1" applyAlignment="1" applyProtection="1">
      <alignment horizontal="right"/>
      <protection hidden="1"/>
    </xf>
    <xf numFmtId="0" fontId="7" fillId="4" borderId="11" xfId="11" applyFont="1" applyFill="1" applyBorder="1" applyAlignment="1">
      <alignment horizontal="center" vertical="center"/>
    </xf>
    <xf numFmtId="166" fontId="7" fillId="4" borderId="11" xfId="11" applyNumberFormat="1" applyFont="1" applyFill="1" applyBorder="1" applyAlignment="1">
      <alignment vertical="top" wrapText="1"/>
    </xf>
    <xf numFmtId="169" fontId="7" fillId="4" borderId="23" xfId="11" applyNumberFormat="1" applyFont="1" applyFill="1" applyBorder="1" applyAlignment="1">
      <alignment horizontal="right"/>
    </xf>
    <xf numFmtId="169" fontId="7" fillId="4" borderId="49" xfId="11" applyNumberFormat="1" applyFont="1" applyFill="1" applyBorder="1" applyAlignment="1">
      <alignment horizontal="right"/>
    </xf>
    <xf numFmtId="169" fontId="7" fillId="0" borderId="50" xfId="11" applyNumberFormat="1" applyFont="1" applyFill="1" applyBorder="1" applyAlignment="1">
      <alignment horizontal="right"/>
    </xf>
    <xf numFmtId="0" fontId="7" fillId="0" borderId="11" xfId="11" applyFont="1" applyFill="1" applyBorder="1"/>
    <xf numFmtId="0" fontId="9" fillId="0" borderId="53" xfId="3" applyFont="1" applyBorder="1" applyAlignment="1" applyProtection="1">
      <alignment horizontal="left" vertical="center" wrapText="1"/>
      <protection hidden="1"/>
    </xf>
    <xf numFmtId="0" fontId="7" fillId="4" borderId="10" xfId="11" applyFont="1" applyFill="1" applyBorder="1" applyAlignment="1">
      <alignment horizontal="center"/>
    </xf>
    <xf numFmtId="0" fontId="7" fillId="0" borderId="39" xfId="11" applyFont="1" applyFill="1" applyBorder="1" applyAlignment="1">
      <alignment horizontal="center"/>
    </xf>
    <xf numFmtId="0" fontId="8" fillId="3" borderId="26" xfId="3" applyFont="1" applyFill="1" applyBorder="1" applyAlignment="1" applyProtection="1">
      <alignment horizontal="left"/>
      <protection hidden="1"/>
    </xf>
    <xf numFmtId="0" fontId="8" fillId="4" borderId="11" xfId="3" applyFont="1" applyFill="1" applyBorder="1" applyAlignment="1" applyProtection="1">
      <alignment horizontal="left"/>
      <protection hidden="1"/>
    </xf>
    <xf numFmtId="0" fontId="9" fillId="0" borderId="11" xfId="3" applyFont="1" applyBorder="1" applyAlignment="1" applyProtection="1">
      <alignment horizontal="left"/>
      <protection hidden="1"/>
    </xf>
    <xf numFmtId="0" fontId="9" fillId="0" borderId="11" xfId="0" applyFont="1" applyBorder="1" applyAlignment="1">
      <alignment vertical="center"/>
    </xf>
    <xf numFmtId="0" fontId="4" fillId="4" borderId="11" xfId="0" applyFont="1" applyFill="1" applyBorder="1" applyAlignment="1">
      <alignment vertical="center"/>
    </xf>
    <xf numFmtId="0" fontId="4" fillId="3" borderId="11" xfId="0" applyFont="1" applyFill="1" applyBorder="1" applyAlignment="1">
      <alignment vertical="center"/>
    </xf>
    <xf numFmtId="0" fontId="11" fillId="0" borderId="11" xfId="0" applyFont="1" applyBorder="1" applyAlignment="1">
      <alignment vertical="center"/>
    </xf>
    <xf numFmtId="0" fontId="9" fillId="6" borderId="11" xfId="0" applyFont="1" applyFill="1" applyBorder="1" applyAlignment="1">
      <alignment vertical="center"/>
    </xf>
    <xf numFmtId="0" fontId="8" fillId="3" borderId="11" xfId="3" applyFont="1" applyFill="1" applyBorder="1" applyAlignment="1" applyProtection="1">
      <alignment horizontal="left"/>
      <protection hidden="1"/>
    </xf>
    <xf numFmtId="0" fontId="10" fillId="4" borderId="11" xfId="4" applyFont="1" applyFill="1" applyBorder="1" applyAlignment="1">
      <alignment horizontal="left" vertical="center"/>
    </xf>
    <xf numFmtId="0" fontId="7" fillId="2" borderId="11" xfId="4" applyFont="1" applyFill="1" applyBorder="1" applyAlignment="1">
      <alignment horizontal="left" vertical="center"/>
    </xf>
    <xf numFmtId="0" fontId="8" fillId="10" borderId="11" xfId="3" applyFont="1" applyFill="1" applyBorder="1" applyAlignment="1" applyProtection="1">
      <alignment horizontal="left"/>
      <protection hidden="1"/>
    </xf>
    <xf numFmtId="0" fontId="7" fillId="0" borderId="11" xfId="4" applyFont="1" applyBorder="1" applyAlignment="1">
      <alignment horizontal="left" vertical="center"/>
    </xf>
    <xf numFmtId="0" fontId="7" fillId="0" borderId="57" xfId="4" applyFont="1" applyBorder="1" applyAlignment="1">
      <alignment horizontal="left" vertical="center"/>
    </xf>
    <xf numFmtId="0" fontId="8" fillId="4" borderId="57" xfId="3" applyFont="1" applyFill="1" applyBorder="1" applyAlignment="1" applyProtection="1">
      <alignment horizontal="left"/>
      <protection hidden="1"/>
    </xf>
    <xf numFmtId="0" fontId="7" fillId="0" borderId="11" xfId="0" applyFont="1" applyBorder="1" applyAlignment="1">
      <alignment vertical="center"/>
    </xf>
    <xf numFmtId="0" fontId="10" fillId="4" borderId="11" xfId="0" applyFont="1" applyFill="1" applyBorder="1" applyAlignment="1">
      <alignment vertical="center"/>
    </xf>
    <xf numFmtId="0" fontId="7" fillId="0" borderId="58" xfId="11" applyFont="1" applyFill="1" applyBorder="1"/>
    <xf numFmtId="0" fontId="10" fillId="4" borderId="11" xfId="3" applyFont="1" applyFill="1" applyBorder="1" applyAlignment="1" applyProtection="1">
      <alignment horizontal="left"/>
      <protection hidden="1"/>
    </xf>
    <xf numFmtId="0" fontId="7" fillId="0" borderId="11" xfId="3" applyFont="1" applyBorder="1" applyAlignment="1" applyProtection="1">
      <alignment horizontal="left"/>
      <protection hidden="1"/>
    </xf>
    <xf numFmtId="0" fontId="9" fillId="6" borderId="32" xfId="3" applyFont="1" applyFill="1" applyBorder="1" applyAlignment="1" applyProtection="1">
      <alignment horizontal="left" vertical="center" wrapText="1"/>
      <protection hidden="1"/>
    </xf>
    <xf numFmtId="0" fontId="9" fillId="0" borderId="29" xfId="3" applyFont="1" applyBorder="1" applyProtection="1">
      <protection hidden="1"/>
    </xf>
    <xf numFmtId="0" fontId="8" fillId="3" borderId="53" xfId="3" applyFont="1" applyFill="1" applyBorder="1" applyProtection="1">
      <protection hidden="1"/>
    </xf>
    <xf numFmtId="0" fontId="10" fillId="3" borderId="40" xfId="3" applyFont="1" applyFill="1" applyBorder="1" applyProtection="1">
      <protection hidden="1"/>
    </xf>
    <xf numFmtId="0" fontId="10" fillId="3" borderId="54" xfId="3" applyFont="1" applyFill="1" applyBorder="1" applyProtection="1">
      <protection hidden="1"/>
    </xf>
    <xf numFmtId="0" fontId="8" fillId="3" borderId="50" xfId="3" applyFont="1" applyFill="1" applyBorder="1" applyProtection="1">
      <protection hidden="1"/>
    </xf>
    <xf numFmtId="0" fontId="4" fillId="3" borderId="58" xfId="0" applyFont="1" applyFill="1" applyBorder="1" applyAlignment="1">
      <alignment vertical="center"/>
    </xf>
    <xf numFmtId="0" fontId="9" fillId="0" borderId="5" xfId="0" applyFont="1" applyBorder="1" applyAlignment="1">
      <alignment vertical="center"/>
    </xf>
    <xf numFmtId="0" fontId="7" fillId="0" borderId="51" xfId="3" applyFont="1" applyBorder="1" applyAlignment="1" applyProtection="1">
      <alignment horizontal="center"/>
      <protection hidden="1"/>
    </xf>
    <xf numFmtId="2" fontId="7" fillId="0" borderId="60" xfId="3" applyNumberFormat="1" applyFont="1" applyBorder="1" applyAlignment="1" applyProtection="1">
      <alignment horizontal="center"/>
      <protection hidden="1"/>
    </xf>
    <xf numFmtId="166" fontId="9" fillId="0" borderId="52" xfId="1" applyNumberFormat="1" applyFont="1" applyFill="1" applyBorder="1" applyAlignment="1" applyProtection="1">
      <alignment horizontal="right"/>
      <protection hidden="1"/>
    </xf>
    <xf numFmtId="0" fontId="9" fillId="0" borderId="0" xfId="0" applyFont="1"/>
    <xf numFmtId="166" fontId="7" fillId="0" borderId="0" xfId="1" applyNumberFormat="1" applyFont="1" applyFill="1" applyProtection="1">
      <protection hidden="1"/>
    </xf>
    <xf numFmtId="0" fontId="8" fillId="9" borderId="10" xfId="3" applyFont="1" applyFill="1" applyBorder="1" applyAlignment="1" applyProtection="1">
      <alignment horizontal="left"/>
      <protection hidden="1"/>
    </xf>
    <xf numFmtId="0" fontId="7" fillId="9" borderId="39" xfId="3" applyFont="1" applyFill="1" applyBorder="1" applyAlignment="1" applyProtection="1">
      <alignment horizontal="center"/>
      <protection hidden="1"/>
    </xf>
    <xf numFmtId="0" fontId="8" fillId="9" borderId="53" xfId="3" applyFont="1" applyFill="1" applyBorder="1" applyAlignment="1" applyProtection="1">
      <alignment horizontal="left" vertical="center" wrapText="1"/>
      <protection hidden="1"/>
    </xf>
    <xf numFmtId="0" fontId="7" fillId="9" borderId="40" xfId="3" applyFont="1" applyFill="1" applyBorder="1" applyAlignment="1" applyProtection="1">
      <alignment horizontal="center"/>
      <protection hidden="1"/>
    </xf>
    <xf numFmtId="2" fontId="7" fillId="9" borderId="54" xfId="3" applyNumberFormat="1" applyFont="1" applyFill="1" applyBorder="1" applyAlignment="1" applyProtection="1">
      <alignment horizontal="center"/>
      <protection hidden="1"/>
    </xf>
    <xf numFmtId="166" fontId="7" fillId="9" borderId="54" xfId="1" applyNumberFormat="1" applyFont="1" applyFill="1" applyBorder="1" applyAlignment="1" applyProtection="1">
      <alignment horizontal="right"/>
      <protection hidden="1"/>
    </xf>
    <xf numFmtId="166" fontId="9" fillId="9" borderId="50" xfId="1" applyNumberFormat="1" applyFont="1" applyFill="1" applyBorder="1" applyAlignment="1" applyProtection="1">
      <alignment horizontal="right"/>
      <protection hidden="1"/>
    </xf>
    <xf numFmtId="0" fontId="8" fillId="10" borderId="53" xfId="3" applyFont="1" applyFill="1" applyBorder="1" applyProtection="1">
      <protection hidden="1"/>
    </xf>
    <xf numFmtId="0" fontId="8" fillId="10" borderId="58" xfId="3" applyFont="1" applyFill="1" applyBorder="1" applyProtection="1">
      <protection hidden="1"/>
    </xf>
    <xf numFmtId="0" fontId="10" fillId="10" borderId="40" xfId="3" applyFont="1" applyFill="1" applyBorder="1" applyProtection="1">
      <protection hidden="1"/>
    </xf>
    <xf numFmtId="2" fontId="7" fillId="10" borderId="54" xfId="3" applyNumberFormat="1" applyFont="1" applyFill="1" applyBorder="1" applyAlignment="1" applyProtection="1">
      <alignment horizontal="center"/>
      <protection hidden="1"/>
    </xf>
    <xf numFmtId="166" fontId="7" fillId="10" borderId="54" xfId="1" applyNumberFormat="1" applyFont="1" applyFill="1" applyBorder="1" applyAlignment="1" applyProtection="1">
      <alignment horizontal="right"/>
      <protection hidden="1"/>
    </xf>
    <xf numFmtId="0" fontId="8" fillId="10" borderId="50" xfId="3" applyFont="1" applyFill="1" applyBorder="1" applyProtection="1">
      <protection hidden="1"/>
    </xf>
    <xf numFmtId="0" fontId="9" fillId="2" borderId="11" xfId="3" applyFont="1" applyFill="1" applyBorder="1" applyAlignment="1" applyProtection="1">
      <alignment horizontal="left"/>
      <protection hidden="1"/>
    </xf>
    <xf numFmtId="42" fontId="9" fillId="0" borderId="23" xfId="12" applyFont="1" applyBorder="1" applyProtection="1">
      <protection hidden="1"/>
    </xf>
    <xf numFmtId="0" fontId="7" fillId="0" borderId="5" xfId="3" applyFont="1" applyBorder="1" applyProtection="1">
      <protection hidden="1"/>
    </xf>
    <xf numFmtId="166" fontId="7" fillId="2" borderId="60" xfId="1" applyNumberFormat="1" applyFont="1" applyFill="1" applyBorder="1" applyAlignment="1" applyProtection="1">
      <alignment horizontal="right"/>
      <protection hidden="1"/>
    </xf>
    <xf numFmtId="0" fontId="8" fillId="3" borderId="26" xfId="3" applyFont="1" applyFill="1" applyBorder="1" applyProtection="1">
      <protection hidden="1"/>
    </xf>
    <xf numFmtId="0" fontId="9" fillId="3" borderId="11" xfId="3" applyFont="1" applyFill="1" applyBorder="1" applyAlignment="1" applyProtection="1">
      <alignment horizontal="left"/>
      <protection hidden="1"/>
    </xf>
    <xf numFmtId="0" fontId="9" fillId="0" borderId="59" xfId="3" applyFont="1" applyBorder="1" applyAlignment="1" applyProtection="1">
      <alignment horizontal="left"/>
      <protection hidden="1"/>
    </xf>
    <xf numFmtId="0" fontId="8" fillId="3" borderId="61" xfId="3" applyFont="1" applyFill="1" applyBorder="1" applyProtection="1">
      <protection hidden="1"/>
    </xf>
    <xf numFmtId="0" fontId="8" fillId="0" borderId="61" xfId="3" applyFont="1" applyBorder="1" applyProtection="1">
      <protection hidden="1"/>
    </xf>
    <xf numFmtId="0" fontId="8" fillId="0" borderId="33" xfId="3" applyFont="1" applyBorder="1" applyProtection="1">
      <protection hidden="1"/>
    </xf>
    <xf numFmtId="0" fontId="7" fillId="0" borderId="57" xfId="11" applyFont="1" applyFill="1" applyBorder="1"/>
    <xf numFmtId="0" fontId="7" fillId="0" borderId="62" xfId="11" applyFont="1" applyFill="1" applyBorder="1" applyAlignment="1">
      <alignment horizontal="center"/>
    </xf>
    <xf numFmtId="166" fontId="7" fillId="0" borderId="21" xfId="11" applyNumberFormat="1" applyFont="1" applyFill="1" applyBorder="1" applyAlignment="1">
      <alignment vertical="top" wrapText="1"/>
    </xf>
    <xf numFmtId="169" fontId="7" fillId="0" borderId="63" xfId="11" applyNumberFormat="1" applyFont="1" applyFill="1" applyBorder="1" applyAlignment="1">
      <alignment horizontal="right"/>
    </xf>
    <xf numFmtId="170" fontId="7" fillId="0" borderId="9" xfId="0" applyNumberFormat="1" applyFont="1" applyBorder="1" applyAlignment="1">
      <alignment horizontal="right"/>
    </xf>
    <xf numFmtId="0" fontId="6" fillId="4" borderId="11" xfId="0" applyFont="1" applyFill="1" applyBorder="1"/>
    <xf numFmtId="0" fontId="5" fillId="0" borderId="11" xfId="0" applyFont="1" applyBorder="1"/>
    <xf numFmtId="0" fontId="7" fillId="0" borderId="32" xfId="0" applyFont="1" applyBorder="1" applyAlignment="1" applyProtection="1">
      <alignment horizontal="left"/>
      <protection hidden="1"/>
    </xf>
    <xf numFmtId="0" fontId="7" fillId="0" borderId="11" xfId="13" applyFont="1" applyBorder="1" applyAlignment="1" applyProtection="1">
      <alignment vertical="center" wrapText="1"/>
      <protection locked="0"/>
    </xf>
    <xf numFmtId="0" fontId="8" fillId="3" borderId="58" xfId="3" applyFont="1" applyFill="1" applyBorder="1" applyProtection="1">
      <protection hidden="1"/>
    </xf>
    <xf numFmtId="0" fontId="7" fillId="0" borderId="39" xfId="0" applyFont="1" applyBorder="1" applyAlignment="1">
      <alignment horizontal="center"/>
    </xf>
    <xf numFmtId="170" fontId="7" fillId="0" borderId="23" xfId="0" applyNumberFormat="1" applyFont="1" applyBorder="1" applyAlignment="1">
      <alignment horizontal="right"/>
    </xf>
    <xf numFmtId="0" fontId="10" fillId="4" borderId="32" xfId="0" applyFont="1" applyFill="1" applyBorder="1" applyAlignment="1" applyProtection="1">
      <alignment horizontal="left"/>
      <protection hidden="1"/>
    </xf>
    <xf numFmtId="0" fontId="10" fillId="4" borderId="11" xfId="13" applyFont="1" applyFill="1" applyBorder="1" applyAlignment="1" applyProtection="1">
      <alignment vertical="center" wrapText="1"/>
      <protection locked="0"/>
    </xf>
    <xf numFmtId="0" fontId="7" fillId="4" borderId="39" xfId="0" applyFont="1" applyFill="1" applyBorder="1" applyAlignment="1">
      <alignment horizontal="center"/>
    </xf>
    <xf numFmtId="170" fontId="7" fillId="4" borderId="9" xfId="0" applyNumberFormat="1" applyFont="1" applyFill="1" applyBorder="1" applyAlignment="1">
      <alignment horizontal="right"/>
    </xf>
    <xf numFmtId="170" fontId="7" fillId="4" borderId="23" xfId="0" applyNumberFormat="1" applyFont="1" applyFill="1" applyBorder="1" applyAlignment="1">
      <alignment horizontal="right"/>
    </xf>
    <xf numFmtId="4" fontId="7" fillId="4" borderId="9" xfId="0" applyNumberFormat="1" applyFont="1" applyFill="1" applyBorder="1" applyAlignment="1">
      <alignment horizontal="center"/>
    </xf>
    <xf numFmtId="4" fontId="7" fillId="0" borderId="9" xfId="0" applyNumberFormat="1" applyFont="1" applyBorder="1" applyAlignment="1">
      <alignment horizontal="center"/>
    </xf>
    <xf numFmtId="0" fontId="10" fillId="3" borderId="54" xfId="3" applyFont="1" applyFill="1" applyBorder="1" applyAlignment="1" applyProtection="1">
      <alignment horizontal="center"/>
      <protection hidden="1"/>
    </xf>
    <xf numFmtId="0" fontId="9" fillId="0" borderId="58" xfId="3" applyFont="1" applyBorder="1" applyAlignment="1" applyProtection="1">
      <alignment horizontal="left"/>
      <protection hidden="1"/>
    </xf>
    <xf numFmtId="166" fontId="7" fillId="2" borderId="41" xfId="1" applyNumberFormat="1" applyFont="1" applyFill="1" applyBorder="1" applyAlignment="1" applyProtection="1">
      <alignment horizontal="right"/>
      <protection hidden="1"/>
    </xf>
    <xf numFmtId="2" fontId="7" fillId="0" borderId="64" xfId="3" applyNumberFormat="1" applyFont="1" applyBorder="1" applyAlignment="1" applyProtection="1">
      <alignment horizontal="center"/>
      <protection hidden="1"/>
    </xf>
    <xf numFmtId="0" fontId="8" fillId="9" borderId="10" xfId="3" applyFont="1" applyFill="1" applyBorder="1" applyAlignment="1" applyProtection="1">
      <alignment horizontal="left" vertical="center" wrapText="1"/>
      <protection hidden="1"/>
    </xf>
    <xf numFmtId="0" fontId="8" fillId="0" borderId="2" xfId="3" applyFont="1" applyBorder="1" applyAlignment="1" applyProtection="1">
      <alignment vertical="center" wrapText="1"/>
      <protection hidden="1"/>
    </xf>
    <xf numFmtId="166" fontId="9" fillId="2" borderId="27" xfId="1" applyNumberFormat="1" applyFont="1" applyFill="1" applyBorder="1" applyAlignment="1" applyProtection="1">
      <alignment horizontal="right"/>
      <protection hidden="1"/>
    </xf>
    <xf numFmtId="166" fontId="8" fillId="5" borderId="34" xfId="1" applyNumberFormat="1" applyFont="1" applyFill="1" applyBorder="1" applyAlignment="1" applyProtection="1">
      <alignment horizontal="right"/>
      <protection hidden="1"/>
    </xf>
    <xf numFmtId="0" fontId="9" fillId="0" borderId="11" xfId="3" applyFont="1" applyBorder="1" applyAlignment="1" applyProtection="1">
      <alignment horizontal="left" vertical="top" wrapText="1"/>
      <protection hidden="1"/>
    </xf>
    <xf numFmtId="2" fontId="7" fillId="0" borderId="21" xfId="3" applyNumberFormat="1" applyFont="1" applyBorder="1" applyAlignment="1" applyProtection="1">
      <alignment horizontal="center"/>
      <protection hidden="1"/>
    </xf>
    <xf numFmtId="0" fontId="8" fillId="0" borderId="32" xfId="3" applyFont="1" applyBorder="1" applyAlignment="1" applyProtection="1">
      <alignment horizontal="left" vertical="center" wrapText="1"/>
      <protection hidden="1"/>
    </xf>
    <xf numFmtId="0" fontId="9" fillId="2" borderId="33" xfId="3" applyFont="1" applyFill="1" applyBorder="1" applyAlignment="1" applyProtection="1">
      <alignment horizontal="left" vertical="center" wrapText="1"/>
      <protection hidden="1"/>
    </xf>
    <xf numFmtId="0" fontId="8" fillId="5" borderId="4" xfId="3" applyFont="1" applyFill="1" applyBorder="1" applyAlignment="1" applyProtection="1">
      <alignment horizontal="center"/>
      <protection hidden="1"/>
    </xf>
    <xf numFmtId="0" fontId="8" fillId="5" borderId="5" xfId="3" applyFont="1" applyFill="1" applyBorder="1" applyAlignment="1" applyProtection="1">
      <alignment horizontal="center"/>
      <protection hidden="1"/>
    </xf>
    <xf numFmtId="0" fontId="8" fillId="5" borderId="15" xfId="3" applyFont="1" applyFill="1" applyBorder="1" applyAlignment="1" applyProtection="1">
      <alignment horizontal="center"/>
      <protection hidden="1"/>
    </xf>
    <xf numFmtId="0" fontId="8" fillId="0" borderId="2" xfId="3" applyFont="1" applyBorder="1" applyAlignment="1" applyProtection="1">
      <alignment horizontal="center" vertical="center"/>
      <protection hidden="1"/>
    </xf>
    <xf numFmtId="0" fontId="8" fillId="0" borderId="3" xfId="3" applyFont="1" applyBorder="1" applyAlignment="1" applyProtection="1">
      <alignment horizontal="center" vertical="center"/>
      <protection hidden="1"/>
    </xf>
    <xf numFmtId="0" fontId="8" fillId="0" borderId="13" xfId="3" applyFont="1" applyBorder="1" applyAlignment="1" applyProtection="1">
      <alignment horizontal="center" vertical="center"/>
      <protection hidden="1"/>
    </xf>
    <xf numFmtId="0" fontId="8" fillId="0" borderId="4" xfId="3" applyFont="1" applyBorder="1" applyAlignment="1" applyProtection="1">
      <alignment horizontal="center" vertical="center"/>
      <protection hidden="1"/>
    </xf>
    <xf numFmtId="0" fontId="8" fillId="0" borderId="5" xfId="3" applyFont="1" applyBorder="1" applyAlignment="1" applyProtection="1">
      <alignment horizontal="center" vertical="center"/>
      <protection hidden="1"/>
    </xf>
    <xf numFmtId="0" fontId="8" fillId="0" borderId="15" xfId="3" applyFont="1" applyBorder="1" applyAlignment="1" applyProtection="1">
      <alignment horizontal="center" vertical="center"/>
      <protection hidden="1"/>
    </xf>
    <xf numFmtId="0" fontId="8" fillId="0" borderId="3" xfId="3" applyFont="1" applyBorder="1" applyAlignment="1" applyProtection="1">
      <alignment horizontal="center" vertical="center" wrapText="1"/>
      <protection hidden="1"/>
    </xf>
    <xf numFmtId="0" fontId="8" fillId="0" borderId="13" xfId="3" applyFont="1" applyBorder="1" applyAlignment="1" applyProtection="1">
      <alignment horizontal="center" vertical="center" wrapText="1"/>
      <protection hidden="1"/>
    </xf>
    <xf numFmtId="0" fontId="8" fillId="0" borderId="0" xfId="3" applyFont="1" applyAlignment="1" applyProtection="1">
      <alignment horizontal="center" vertical="center" wrapText="1"/>
      <protection hidden="1"/>
    </xf>
    <xf numFmtId="0" fontId="8" fillId="0" borderId="14" xfId="3" applyFont="1" applyBorder="1" applyAlignment="1" applyProtection="1">
      <alignment horizontal="center" vertical="center" wrapText="1"/>
      <protection hidden="1"/>
    </xf>
    <xf numFmtId="0" fontId="10" fillId="0" borderId="0" xfId="3" applyFont="1" applyAlignment="1" applyProtection="1">
      <alignment horizontal="center" vertical="center"/>
      <protection hidden="1"/>
    </xf>
    <xf numFmtId="0" fontId="10" fillId="0" borderId="14" xfId="3" applyFont="1" applyBorder="1" applyAlignment="1" applyProtection="1">
      <alignment horizontal="center" vertical="center"/>
      <protection hidden="1"/>
    </xf>
    <xf numFmtId="0" fontId="10" fillId="0" borderId="5" xfId="3" applyFont="1" applyBorder="1" applyAlignment="1" applyProtection="1">
      <alignment horizontal="center" vertical="center"/>
      <protection hidden="1"/>
    </xf>
    <xf numFmtId="0" fontId="10" fillId="0" borderId="15" xfId="3" applyFont="1" applyBorder="1" applyAlignment="1" applyProtection="1">
      <alignment horizontal="center" vertical="center"/>
      <protection hidden="1"/>
    </xf>
    <xf numFmtId="0" fontId="8" fillId="7" borderId="24" xfId="3" applyFont="1" applyFill="1" applyBorder="1" applyAlignment="1" applyProtection="1">
      <alignment horizontal="center"/>
      <protection hidden="1"/>
    </xf>
    <xf numFmtId="0" fontId="8" fillId="7" borderId="25" xfId="3" applyFont="1" applyFill="1" applyBorder="1" applyAlignment="1" applyProtection="1">
      <alignment horizontal="center"/>
      <protection hidden="1"/>
    </xf>
    <xf numFmtId="0" fontId="8" fillId="7" borderId="48" xfId="3" applyFont="1" applyFill="1" applyBorder="1" applyAlignment="1" applyProtection="1">
      <alignment horizontal="center"/>
      <protection hidden="1"/>
    </xf>
    <xf numFmtId="0" fontId="8" fillId="0" borderId="2" xfId="3" applyFont="1" applyBorder="1" applyAlignment="1" applyProtection="1">
      <alignment horizontal="center" vertical="center" wrapText="1"/>
      <protection hidden="1"/>
    </xf>
    <xf numFmtId="0" fontId="8" fillId="0" borderId="12" xfId="3" applyFont="1" applyBorder="1" applyAlignment="1" applyProtection="1">
      <alignment horizontal="center" vertical="center" wrapText="1"/>
      <protection hidden="1"/>
    </xf>
    <xf numFmtId="0" fontId="8" fillId="0" borderId="4" xfId="3" applyFont="1" applyBorder="1" applyAlignment="1" applyProtection="1">
      <alignment horizontal="center" vertical="center" wrapText="1"/>
      <protection hidden="1"/>
    </xf>
    <xf numFmtId="0" fontId="7" fillId="0" borderId="10" xfId="3" applyFont="1" applyBorder="1" applyAlignment="1" applyProtection="1">
      <alignment horizontal="center"/>
      <protection hidden="1"/>
    </xf>
    <xf numFmtId="0" fontId="7" fillId="0" borderId="11" xfId="3" applyFont="1" applyBorder="1" applyAlignment="1" applyProtection="1">
      <alignment horizontal="center"/>
      <protection hidden="1"/>
    </xf>
    <xf numFmtId="0" fontId="7" fillId="0" borderId="49" xfId="3" applyFont="1" applyBorder="1" applyAlignment="1" applyProtection="1">
      <alignment horizontal="center"/>
      <protection hidden="1"/>
    </xf>
    <xf numFmtId="0" fontId="9" fillId="0" borderId="5" xfId="3" applyFont="1" applyBorder="1" applyAlignment="1">
      <alignment vertical="center" wrapText="1"/>
    </xf>
    <xf numFmtId="0" fontId="9" fillId="0" borderId="0" xfId="3" applyFont="1" applyAlignment="1">
      <alignment vertical="center" wrapText="1"/>
    </xf>
    <xf numFmtId="0" fontId="8" fillId="0" borderId="37" xfId="3" applyFont="1" applyBorder="1" applyAlignment="1" applyProtection="1">
      <alignment horizontal="center" vertical="center" wrapText="1"/>
      <protection hidden="1"/>
    </xf>
    <xf numFmtId="0" fontId="8" fillId="0" borderId="38" xfId="3" applyFont="1" applyBorder="1" applyAlignment="1" applyProtection="1">
      <alignment horizontal="center" vertical="center" wrapText="1"/>
      <protection hidden="1"/>
    </xf>
    <xf numFmtId="0" fontId="8" fillId="0" borderId="16" xfId="3" applyFont="1" applyBorder="1" applyAlignment="1" applyProtection="1">
      <alignment horizontal="center" vertical="center" wrapText="1"/>
      <protection hidden="1"/>
    </xf>
    <xf numFmtId="0" fontId="7" fillId="6" borderId="10" xfId="3" applyFont="1" applyFill="1" applyBorder="1" applyAlignment="1" applyProtection="1">
      <alignment horizontal="center"/>
      <protection hidden="1"/>
    </xf>
    <xf numFmtId="0" fontId="7" fillId="6" borderId="11" xfId="3" applyFont="1" applyFill="1" applyBorder="1" applyAlignment="1" applyProtection="1">
      <alignment horizontal="center"/>
      <protection hidden="1"/>
    </xf>
    <xf numFmtId="0" fontId="7" fillId="6" borderId="49" xfId="3" applyFont="1" applyFill="1" applyBorder="1" applyAlignment="1" applyProtection="1">
      <alignment horizontal="center"/>
      <protection hidden="1"/>
    </xf>
    <xf numFmtId="0" fontId="8" fillId="5" borderId="4" xfId="3" applyFont="1" applyFill="1" applyBorder="1" applyAlignment="1" applyProtection="1">
      <alignment horizontal="center" vertical="center" wrapText="1"/>
      <protection hidden="1"/>
    </xf>
    <xf numFmtId="0" fontId="8" fillId="5" borderId="5" xfId="3" applyFont="1" applyFill="1" applyBorder="1" applyAlignment="1" applyProtection="1">
      <alignment horizontal="center" vertical="center" wrapText="1"/>
      <protection hidden="1"/>
    </xf>
    <xf numFmtId="0" fontId="8" fillId="5" borderId="15" xfId="3" applyFont="1" applyFill="1" applyBorder="1" applyAlignment="1" applyProtection="1">
      <alignment horizontal="center" vertical="center" wrapText="1"/>
      <protection hidden="1"/>
    </xf>
    <xf numFmtId="0" fontId="8" fillId="0" borderId="37" xfId="3" applyFont="1" applyBorder="1" applyAlignment="1" applyProtection="1">
      <alignment horizontal="center" vertical="center"/>
      <protection hidden="1"/>
    </xf>
    <xf numFmtId="0" fontId="8" fillId="0" borderId="38" xfId="3" applyFont="1" applyBorder="1" applyAlignment="1" applyProtection="1">
      <alignment horizontal="center" vertical="center"/>
      <protection hidden="1"/>
    </xf>
    <xf numFmtId="0" fontId="8" fillId="0" borderId="16" xfId="3" applyFont="1" applyBorder="1" applyAlignment="1" applyProtection="1">
      <alignment horizontal="center" vertical="center"/>
      <protection hidden="1"/>
    </xf>
    <xf numFmtId="0" fontId="8" fillId="0" borderId="28" xfId="3" applyFont="1" applyBorder="1" applyAlignment="1" applyProtection="1">
      <alignment horizontal="left"/>
      <protection hidden="1"/>
    </xf>
    <xf numFmtId="0" fontId="8" fillId="0" borderId="26" xfId="3" applyFont="1" applyBorder="1" applyAlignment="1" applyProtection="1">
      <alignment horizontal="left"/>
      <protection hidden="1"/>
    </xf>
    <xf numFmtId="0" fontId="8" fillId="0" borderId="6" xfId="3" applyFont="1" applyBorder="1" applyAlignment="1" applyProtection="1">
      <alignment horizontal="left"/>
      <protection hidden="1"/>
    </xf>
    <xf numFmtId="0" fontId="9" fillId="0" borderId="10" xfId="3" applyFont="1" applyBorder="1" applyAlignment="1" applyProtection="1">
      <alignment horizontal="left"/>
      <protection hidden="1"/>
    </xf>
    <xf numFmtId="0" fontId="9" fillId="0" borderId="8" xfId="3" applyFont="1" applyBorder="1" applyAlignment="1" applyProtection="1">
      <alignment horizontal="left"/>
      <protection hidden="1"/>
    </xf>
    <xf numFmtId="0" fontId="8" fillId="0" borderId="10" xfId="3" applyFont="1" applyBorder="1" applyAlignment="1" applyProtection="1">
      <alignment horizontal="left"/>
      <protection hidden="1"/>
    </xf>
    <xf numFmtId="0" fontId="8" fillId="0" borderId="11" xfId="3" applyFont="1" applyBorder="1" applyAlignment="1" applyProtection="1">
      <alignment horizontal="left"/>
      <protection hidden="1"/>
    </xf>
    <xf numFmtId="0" fontId="8" fillId="0" borderId="8" xfId="3" applyFont="1" applyBorder="1" applyAlignment="1" applyProtection="1">
      <alignment horizontal="left"/>
      <protection hidden="1"/>
    </xf>
    <xf numFmtId="0" fontId="9" fillId="0" borderId="29" xfId="3" applyFont="1" applyBorder="1" applyAlignment="1" applyProtection="1">
      <alignment horizontal="left"/>
      <protection hidden="1"/>
    </xf>
    <xf numFmtId="0" fontId="9" fillId="0" borderId="30" xfId="3" applyFont="1" applyBorder="1" applyAlignment="1" applyProtection="1">
      <alignment horizontal="left"/>
      <protection hidden="1"/>
    </xf>
    <xf numFmtId="0" fontId="8" fillId="0" borderId="24" xfId="3" applyFont="1" applyBorder="1" applyAlignment="1" applyProtection="1">
      <alignment horizontal="left"/>
      <protection hidden="1"/>
    </xf>
    <xf numFmtId="0" fontId="8" fillId="0" borderId="25" xfId="3" applyFont="1" applyBorder="1" applyAlignment="1" applyProtection="1">
      <alignment horizontal="left"/>
      <protection hidden="1"/>
    </xf>
    <xf numFmtId="0" fontId="8" fillId="0" borderId="18" xfId="3" applyFont="1" applyBorder="1" applyAlignment="1" applyProtection="1">
      <alignment horizontal="left"/>
      <protection hidden="1"/>
    </xf>
    <xf numFmtId="0" fontId="8" fillId="0" borderId="24" xfId="3" applyFont="1" applyBorder="1" applyAlignment="1" applyProtection="1">
      <alignment horizontal="center"/>
      <protection hidden="1"/>
    </xf>
    <xf numFmtId="0" fontId="8" fillId="0" borderId="25" xfId="3" applyFont="1" applyBorder="1" applyAlignment="1" applyProtection="1">
      <alignment horizontal="center"/>
      <protection hidden="1"/>
    </xf>
    <xf numFmtId="0" fontId="8" fillId="0" borderId="48" xfId="3" applyFont="1" applyBorder="1" applyAlignment="1" applyProtection="1">
      <alignment horizontal="center"/>
      <protection hidden="1"/>
    </xf>
    <xf numFmtId="0" fontId="8" fillId="0" borderId="15" xfId="3" applyFont="1" applyBorder="1" applyAlignment="1" applyProtection="1">
      <alignment horizontal="center" vertical="center" wrapText="1"/>
      <protection hidden="1"/>
    </xf>
    <xf numFmtId="0" fontId="8" fillId="5" borderId="24" xfId="3" applyFont="1" applyFill="1" applyBorder="1" applyAlignment="1" applyProtection="1">
      <alignment horizontal="center"/>
      <protection hidden="1"/>
    </xf>
    <xf numFmtId="0" fontId="8" fillId="5" borderId="25" xfId="3" applyFont="1" applyFill="1" applyBorder="1" applyAlignment="1" applyProtection="1">
      <alignment horizontal="center"/>
      <protection hidden="1"/>
    </xf>
    <xf numFmtId="0" fontId="8" fillId="5" borderId="48" xfId="3" applyFont="1" applyFill="1" applyBorder="1" applyAlignment="1" applyProtection="1">
      <alignment horizontal="center"/>
      <protection hidden="1"/>
    </xf>
    <xf numFmtId="0" fontId="7" fillId="0" borderId="4" xfId="3" applyFont="1" applyBorder="1" applyAlignment="1" applyProtection="1">
      <alignment horizontal="center"/>
      <protection hidden="1"/>
    </xf>
    <xf numFmtId="0" fontId="7" fillId="0" borderId="5" xfId="3" applyFont="1" applyBorder="1" applyAlignment="1" applyProtection="1">
      <alignment horizontal="center"/>
      <protection hidden="1"/>
    </xf>
    <xf numFmtId="0" fontId="7" fillId="0" borderId="15" xfId="3" applyFont="1" applyBorder="1" applyAlignment="1" applyProtection="1">
      <alignment horizontal="center"/>
      <protection hidden="1"/>
    </xf>
    <xf numFmtId="0" fontId="7" fillId="0" borderId="56" xfId="3" applyFont="1" applyBorder="1" applyAlignment="1" applyProtection="1">
      <alignment horizontal="center"/>
      <protection hidden="1"/>
    </xf>
    <xf numFmtId="0" fontId="7" fillId="0" borderId="58" xfId="3" applyFont="1" applyBorder="1" applyAlignment="1" applyProtection="1">
      <alignment horizontal="center"/>
      <protection hidden="1"/>
    </xf>
    <xf numFmtId="0" fontId="7" fillId="0" borderId="65" xfId="3" applyFont="1" applyBorder="1" applyAlignment="1" applyProtection="1">
      <alignment horizontal="center"/>
      <protection hidden="1"/>
    </xf>
  </cellXfs>
  <cellStyles count="14">
    <cellStyle name="Bueno" xfId="11" builtinId="26"/>
    <cellStyle name="Moneda" xfId="1" builtinId="4"/>
    <cellStyle name="Moneda [0]" xfId="12" builtinId="7"/>
    <cellStyle name="Moneda [0] 2" xfId="6" xr:uid="{00000000-0005-0000-0000-000001000000}"/>
    <cellStyle name="Moneda [0] 2 2" xfId="9" xr:uid="{289A2F90-C6F5-403F-BBF5-B6105ADFA4CA}"/>
    <cellStyle name="Moneda [0] 3" xfId="10" xr:uid="{A05FEEE2-2974-40B7-BA67-0C0B2D3AB181}"/>
    <cellStyle name="Moneda 2" xfId="5" xr:uid="{00000000-0005-0000-0000-000002000000}"/>
    <cellStyle name="Moneda 3" xfId="8" xr:uid="{00000000-0005-0000-0000-000003000000}"/>
    <cellStyle name="Normal" xfId="0" builtinId="0"/>
    <cellStyle name="Normal 2" xfId="3" xr:uid="{00000000-0005-0000-0000-000005000000}"/>
    <cellStyle name="Normal 3" xfId="4" xr:uid="{00000000-0005-0000-0000-000006000000}"/>
    <cellStyle name="Normal_Entrep Easy P.A." xfId="13" xr:uid="{6D7423EC-1235-483D-AE2C-DF61B936D790}"/>
    <cellStyle name="Porcentaje" xfId="2" builtinId="5"/>
    <cellStyle name="Porcentaje 2" xfId="7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inenergia-my.sharepoint.com/Users/sharfagar.MINENERGIA/OneDrive%20-%20Ministerio%20de%20Energia/23%20-%20ESCUELAS/C%20-%20TRABAJO/A%20Diagn&#243;stico/01%20Diagn&#243;stico%20Base%20DEP/Formato%20Ficha%20de%20Levantamiento_Rev0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:\C:\Users\JuanEduardo\Desktop\JEHB\ArchivoCentral_JEHB_Oficina\JEHB.8.CARPETAS_MODIFICADAS\Mineduc_2019\RBD%209610_Escuela%20Poeta%20Oscar%20Castro\Documentos\jeh_PL.Ecosto_RBD%20961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Envolvente"/>
      <sheetName val="Ventanas"/>
      <sheetName val="Ventilacion"/>
      <sheetName val="Iluminación"/>
      <sheetName val="Generación térmica"/>
      <sheetName val="Conexión eléctrica"/>
      <sheetName val="Clima"/>
      <sheetName val="Listas desplegables"/>
      <sheetName val="Formato Ficha de Levantamiento_"/>
      <sheetName val="_Formato_Ficha_de_Levantamien_4"/>
      <sheetName val="_Formato_Ficha_de_Levantamien_3"/>
      <sheetName val="_Formato_Ficha_de_Levantamien_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COSTO-RBD 9610"/>
      <sheetName val="RBD 9610-PTO OF."/>
      <sheetName val="LISTADO"/>
      <sheetName val="Hoja1"/>
    </sheetNames>
    <sheetDataSet>
      <sheetData sheetId="0" refreshError="1">
        <row r="2">
          <cell r="G2">
            <v>1</v>
          </cell>
          <cell r="K2">
            <v>28065.35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F0FDBB-2587-48A0-AADB-F7FE3DA28798}">
  <sheetPr>
    <pageSetUpPr fitToPage="1"/>
  </sheetPr>
  <dimension ref="B1:H474"/>
  <sheetViews>
    <sheetView tabSelected="1" view="pageBreakPreview" topLeftCell="A52" zoomScale="90" zoomScaleNormal="85" zoomScaleSheetLayoutView="90" workbookViewId="0">
      <selection activeCell="B2" sqref="B2:H3"/>
    </sheetView>
  </sheetViews>
  <sheetFormatPr baseColWidth="10" defaultColWidth="11.42578125" defaultRowHeight="16.5" x14ac:dyDescent="0.3"/>
  <cols>
    <col min="1" max="1" width="2.85546875" style="1" customWidth="1"/>
    <col min="2" max="2" width="28.85546875" style="1" customWidth="1"/>
    <col min="3" max="3" width="11" style="2" bestFit="1" customWidth="1"/>
    <col min="4" max="4" width="118.5703125" style="1" customWidth="1"/>
    <col min="5" max="5" width="10" style="1" bestFit="1" customWidth="1"/>
    <col min="6" max="6" width="12.5703125" style="3" bestFit="1" customWidth="1"/>
    <col min="7" max="7" width="17.28515625" style="1" customWidth="1"/>
    <col min="8" max="8" width="20.140625" style="1" customWidth="1"/>
    <col min="9" max="16384" width="11.42578125" style="1"/>
  </cols>
  <sheetData>
    <row r="1" spans="2:8" ht="17.25" thickBot="1" x14ac:dyDescent="0.35">
      <c r="H1" s="4"/>
    </row>
    <row r="2" spans="2:8" x14ac:dyDescent="0.3">
      <c r="B2" s="242" t="s">
        <v>357</v>
      </c>
      <c r="C2" s="243"/>
      <c r="D2" s="243"/>
      <c r="E2" s="243"/>
      <c r="F2" s="243"/>
      <c r="G2" s="243"/>
      <c r="H2" s="244"/>
    </row>
    <row r="3" spans="2:8" ht="17.25" thickBot="1" x14ac:dyDescent="0.35">
      <c r="B3" s="245"/>
      <c r="C3" s="246"/>
      <c r="D3" s="246"/>
      <c r="E3" s="246"/>
      <c r="F3" s="246"/>
      <c r="G3" s="246"/>
      <c r="H3" s="247"/>
    </row>
    <row r="4" spans="2:8" x14ac:dyDescent="0.3">
      <c r="B4" s="5"/>
      <c r="C4" s="6"/>
      <c r="D4" s="6"/>
      <c r="E4" s="248"/>
      <c r="F4" s="248"/>
      <c r="G4" s="248"/>
      <c r="H4" s="249"/>
    </row>
    <row r="5" spans="2:8" x14ac:dyDescent="0.3">
      <c r="B5" s="7" t="s">
        <v>0</v>
      </c>
      <c r="C5" s="8" t="s">
        <v>1</v>
      </c>
      <c r="D5" s="9" t="s">
        <v>359</v>
      </c>
      <c r="E5" s="250"/>
      <c r="F5" s="250"/>
      <c r="G5" s="250"/>
      <c r="H5" s="251"/>
    </row>
    <row r="6" spans="2:8" x14ac:dyDescent="0.3">
      <c r="B6" s="7" t="s">
        <v>2</v>
      </c>
      <c r="C6" s="8" t="s">
        <v>1</v>
      </c>
      <c r="D6" s="9" t="s">
        <v>356</v>
      </c>
      <c r="E6" s="250"/>
      <c r="F6" s="250"/>
      <c r="G6" s="250"/>
      <c r="H6" s="251"/>
    </row>
    <row r="7" spans="2:8" x14ac:dyDescent="0.3">
      <c r="B7" s="7" t="s">
        <v>3</v>
      </c>
      <c r="C7" s="8" t="s">
        <v>1</v>
      </c>
      <c r="D7" s="10" t="s">
        <v>24</v>
      </c>
      <c r="E7" s="250"/>
      <c r="F7" s="250"/>
      <c r="G7" s="250"/>
      <c r="H7" s="251"/>
    </row>
    <row r="8" spans="2:8" ht="33" x14ac:dyDescent="0.3">
      <c r="B8" s="7" t="s">
        <v>4</v>
      </c>
      <c r="C8" s="8" t="s">
        <v>1</v>
      </c>
      <c r="D8" s="109" t="s">
        <v>358</v>
      </c>
      <c r="E8" s="250"/>
      <c r="F8" s="250"/>
      <c r="G8" s="250"/>
      <c r="H8" s="251"/>
    </row>
    <row r="9" spans="2:8" x14ac:dyDescent="0.3">
      <c r="B9" s="7" t="s">
        <v>5</v>
      </c>
      <c r="C9" s="8" t="s">
        <v>1</v>
      </c>
      <c r="D9" s="9" t="s">
        <v>22</v>
      </c>
      <c r="E9" s="252" t="s">
        <v>24</v>
      </c>
      <c r="F9" s="252"/>
      <c r="G9" s="252"/>
      <c r="H9" s="253"/>
    </row>
    <row r="10" spans="2:8" x14ac:dyDescent="0.3">
      <c r="B10" s="7" t="s">
        <v>6</v>
      </c>
      <c r="C10" s="8" t="s">
        <v>1</v>
      </c>
      <c r="D10" s="8" t="s">
        <v>23</v>
      </c>
      <c r="E10" s="252"/>
      <c r="F10" s="252"/>
      <c r="G10" s="252"/>
      <c r="H10" s="253"/>
    </row>
    <row r="11" spans="2:8" x14ac:dyDescent="0.3">
      <c r="B11" s="7" t="s">
        <v>28</v>
      </c>
      <c r="C11" s="8" t="s">
        <v>1</v>
      </c>
      <c r="D11" s="11">
        <v>46079</v>
      </c>
      <c r="E11" s="252"/>
      <c r="F11" s="252"/>
      <c r="G11" s="252"/>
      <c r="H11" s="253"/>
    </row>
    <row r="12" spans="2:8" ht="17.25" thickBot="1" x14ac:dyDescent="0.35">
      <c r="B12" s="12"/>
      <c r="C12" s="13"/>
      <c r="D12" s="14"/>
      <c r="E12" s="254"/>
      <c r="F12" s="254"/>
      <c r="G12" s="254"/>
      <c r="H12" s="255"/>
    </row>
    <row r="13" spans="2:8" ht="17.25" thickBot="1" x14ac:dyDescent="0.35">
      <c r="B13" s="15" t="s">
        <v>7</v>
      </c>
      <c r="C13" s="16" t="s">
        <v>8</v>
      </c>
      <c r="D13" s="17" t="s">
        <v>9</v>
      </c>
      <c r="E13" s="18" t="s">
        <v>10</v>
      </c>
      <c r="F13" s="50" t="s">
        <v>11</v>
      </c>
      <c r="G13" s="19" t="s">
        <v>30</v>
      </c>
      <c r="H13" s="20" t="s">
        <v>12</v>
      </c>
    </row>
    <row r="14" spans="2:8" ht="17.25" thickBot="1" x14ac:dyDescent="0.35">
      <c r="B14" s="101"/>
      <c r="C14" s="102"/>
      <c r="D14" s="102"/>
      <c r="E14" s="103"/>
      <c r="F14" s="104"/>
      <c r="G14" s="105"/>
      <c r="H14" s="106"/>
    </row>
    <row r="15" spans="2:8" ht="17.25" thickBot="1" x14ac:dyDescent="0.35">
      <c r="B15" s="256" t="s">
        <v>370</v>
      </c>
      <c r="C15" s="257"/>
      <c r="D15" s="257"/>
      <c r="E15" s="257"/>
      <c r="F15" s="257"/>
      <c r="G15" s="257"/>
      <c r="H15" s="258"/>
    </row>
    <row r="16" spans="2:8" x14ac:dyDescent="0.3">
      <c r="B16" s="259" t="s">
        <v>179</v>
      </c>
      <c r="C16" s="54" t="s">
        <v>32</v>
      </c>
      <c r="D16" s="58" t="s">
        <v>57</v>
      </c>
      <c r="E16" s="74"/>
      <c r="F16" s="75"/>
      <c r="G16" s="76"/>
      <c r="H16" s="77"/>
    </row>
    <row r="17" spans="2:8" x14ac:dyDescent="0.3">
      <c r="B17" s="260"/>
      <c r="C17" s="84" t="s">
        <v>59</v>
      </c>
      <c r="D17" s="71" t="s">
        <v>838</v>
      </c>
      <c r="E17" s="262" t="s">
        <v>372</v>
      </c>
      <c r="F17" s="263"/>
      <c r="G17" s="263"/>
      <c r="H17" s="264"/>
    </row>
    <row r="18" spans="2:8" x14ac:dyDescent="0.3">
      <c r="B18" s="260"/>
      <c r="C18" s="84" t="s">
        <v>60</v>
      </c>
      <c r="D18" s="71" t="s">
        <v>63</v>
      </c>
      <c r="E18" s="262" t="s">
        <v>372</v>
      </c>
      <c r="F18" s="263"/>
      <c r="G18" s="263"/>
      <c r="H18" s="264"/>
    </row>
    <row r="19" spans="2:8" x14ac:dyDescent="0.3">
      <c r="B19" s="260"/>
      <c r="C19" s="84" t="s">
        <v>61</v>
      </c>
      <c r="D19" s="71" t="s">
        <v>374</v>
      </c>
      <c r="E19" s="70" t="s">
        <v>329</v>
      </c>
      <c r="F19" s="45">
        <f>76.5+3+6.4+42.69</f>
        <v>128.59</v>
      </c>
      <c r="G19" s="38">
        <v>12580</v>
      </c>
      <c r="H19" s="52">
        <f>+G19*F19</f>
        <v>1617662.2</v>
      </c>
    </row>
    <row r="20" spans="2:8" x14ac:dyDescent="0.3">
      <c r="B20" s="260"/>
      <c r="C20" s="84" t="s">
        <v>62</v>
      </c>
      <c r="D20" s="71" t="s">
        <v>58</v>
      </c>
      <c r="E20" s="78" t="s">
        <v>177</v>
      </c>
      <c r="F20" s="45">
        <v>1</v>
      </c>
      <c r="G20" s="38">
        <v>365400</v>
      </c>
      <c r="H20" s="52">
        <f>+G20*F20</f>
        <v>365400</v>
      </c>
    </row>
    <row r="21" spans="2:8" x14ac:dyDescent="0.3">
      <c r="B21" s="260"/>
      <c r="C21" s="84" t="s">
        <v>373</v>
      </c>
      <c r="D21" s="71" t="s">
        <v>375</v>
      </c>
      <c r="E21" s="78" t="s">
        <v>177</v>
      </c>
      <c r="F21" s="45">
        <v>1</v>
      </c>
      <c r="G21" s="38">
        <v>280400</v>
      </c>
      <c r="H21" s="52">
        <f>+G21*F21</f>
        <v>280400</v>
      </c>
    </row>
    <row r="22" spans="2:8" x14ac:dyDescent="0.3">
      <c r="B22" s="260"/>
      <c r="C22" s="57" t="s">
        <v>33</v>
      </c>
      <c r="D22" s="72" t="s">
        <v>320</v>
      </c>
      <c r="E22" s="79"/>
      <c r="F22" s="55"/>
      <c r="G22" s="56"/>
      <c r="H22" s="80"/>
    </row>
    <row r="23" spans="2:8" x14ac:dyDescent="0.3">
      <c r="B23" s="260"/>
      <c r="C23" s="84" t="s">
        <v>321</v>
      </c>
      <c r="D23" s="71" t="s">
        <v>178</v>
      </c>
      <c r="E23" s="70" t="s">
        <v>329</v>
      </c>
      <c r="F23" s="45">
        <f>68.45+7.42+1+32.53</f>
        <v>109.4</v>
      </c>
      <c r="G23" s="38">
        <v>12580</v>
      </c>
      <c r="H23" s="52">
        <f>+G23*F23</f>
        <v>1376252</v>
      </c>
    </row>
    <row r="24" spans="2:8" x14ac:dyDescent="0.3">
      <c r="B24" s="260"/>
      <c r="C24" s="57" t="s">
        <v>34</v>
      </c>
      <c r="D24" s="72" t="s">
        <v>248</v>
      </c>
      <c r="E24" s="79"/>
      <c r="F24" s="55"/>
      <c r="G24" s="56"/>
      <c r="H24" s="80"/>
    </row>
    <row r="25" spans="2:8" x14ac:dyDescent="0.3">
      <c r="B25" s="260"/>
      <c r="C25" s="84" t="s">
        <v>322</v>
      </c>
      <c r="D25" s="71" t="s">
        <v>64</v>
      </c>
      <c r="E25" s="47" t="s">
        <v>328</v>
      </c>
      <c r="F25" s="46">
        <f>222+323</f>
        <v>545</v>
      </c>
      <c r="G25" s="38">
        <v>2292</v>
      </c>
      <c r="H25" s="52">
        <f>+G25*F25</f>
        <v>1249140</v>
      </c>
    </row>
    <row r="26" spans="2:8" x14ac:dyDescent="0.3">
      <c r="B26" s="260"/>
      <c r="C26" s="84" t="s">
        <v>323</v>
      </c>
      <c r="D26" s="71" t="s">
        <v>65</v>
      </c>
      <c r="E26" s="47" t="s">
        <v>327</v>
      </c>
      <c r="F26" s="46">
        <f>+F25*0.5</f>
        <v>272.5</v>
      </c>
      <c r="G26" s="38">
        <v>14980</v>
      </c>
      <c r="H26" s="52">
        <f>+G26*F26</f>
        <v>4082050</v>
      </c>
    </row>
    <row r="27" spans="2:8" x14ac:dyDescent="0.3">
      <c r="B27" s="260"/>
      <c r="C27" s="84" t="s">
        <v>324</v>
      </c>
      <c r="D27" s="71" t="s">
        <v>66</v>
      </c>
      <c r="E27" s="47" t="s">
        <v>328</v>
      </c>
      <c r="F27" s="46">
        <f>+F25</f>
        <v>545</v>
      </c>
      <c r="G27" s="38">
        <v>300</v>
      </c>
      <c r="H27" s="52">
        <f>+G27*F27</f>
        <v>163500</v>
      </c>
    </row>
    <row r="28" spans="2:8" x14ac:dyDescent="0.3">
      <c r="B28" s="260"/>
      <c r="C28" s="84" t="s">
        <v>325</v>
      </c>
      <c r="D28" s="73" t="s">
        <v>132</v>
      </c>
      <c r="E28" s="47" t="s">
        <v>328</v>
      </c>
      <c r="F28" s="46">
        <f>+F25</f>
        <v>545</v>
      </c>
      <c r="G28" s="38">
        <v>250</v>
      </c>
      <c r="H28" s="52">
        <f>+G28*F28</f>
        <v>136250</v>
      </c>
    </row>
    <row r="29" spans="2:8" x14ac:dyDescent="0.3">
      <c r="B29" s="260"/>
      <c r="C29" s="84" t="s">
        <v>326</v>
      </c>
      <c r="D29" s="71" t="s">
        <v>386</v>
      </c>
      <c r="E29" s="78" t="s">
        <v>327</v>
      </c>
      <c r="F29" s="46">
        <v>60.13</v>
      </c>
      <c r="G29" s="38">
        <v>20050</v>
      </c>
      <c r="H29" s="52">
        <f>+G29*F29</f>
        <v>1205606.5</v>
      </c>
    </row>
    <row r="30" spans="2:8" ht="17.25" thickBot="1" x14ac:dyDescent="0.35">
      <c r="B30" s="261"/>
      <c r="C30" s="85" t="s">
        <v>629</v>
      </c>
      <c r="D30" s="200" t="s">
        <v>630</v>
      </c>
      <c r="E30" s="180" t="s">
        <v>327</v>
      </c>
      <c r="F30" s="181">
        <f>+(0.025*12)</f>
        <v>0.30000000000000004</v>
      </c>
      <c r="G30" s="201">
        <v>24050</v>
      </c>
      <c r="H30" s="182">
        <f>+F30*G30</f>
        <v>7215.0000000000009</v>
      </c>
    </row>
    <row r="31" spans="2:8" ht="17.25" thickBot="1" x14ac:dyDescent="0.35">
      <c r="B31" s="23"/>
      <c r="C31" s="24"/>
      <c r="D31" s="239" t="s">
        <v>13</v>
      </c>
      <c r="E31" s="240"/>
      <c r="F31" s="240"/>
      <c r="G31" s="241"/>
      <c r="H31" s="94">
        <f>SUM(H17:H30)</f>
        <v>10483475.699999999</v>
      </c>
    </row>
    <row r="32" spans="2:8" ht="17.25" thickBot="1" x14ac:dyDescent="0.35">
      <c r="B32" s="265"/>
      <c r="C32" s="266"/>
      <c r="D32" s="266"/>
      <c r="E32" s="266"/>
      <c r="F32" s="266"/>
      <c r="G32" s="266"/>
      <c r="H32" s="266"/>
    </row>
    <row r="33" spans="2:8" x14ac:dyDescent="0.3">
      <c r="B33" s="267" t="s">
        <v>67</v>
      </c>
      <c r="C33" s="58" t="s">
        <v>69</v>
      </c>
      <c r="D33" s="59" t="s">
        <v>68</v>
      </c>
      <c r="E33" s="95"/>
      <c r="F33" s="86"/>
      <c r="G33" s="76"/>
      <c r="H33" s="87"/>
    </row>
    <row r="34" spans="2:8" x14ac:dyDescent="0.3">
      <c r="B34" s="268"/>
      <c r="C34" s="91" t="s">
        <v>55</v>
      </c>
      <c r="D34" s="26" t="s">
        <v>36</v>
      </c>
      <c r="E34" s="78" t="s">
        <v>327</v>
      </c>
      <c r="F34" s="46">
        <f>5.619+0.5+0.0045</f>
        <v>6.1234999999999999</v>
      </c>
      <c r="G34" s="48">
        <v>76229</v>
      </c>
      <c r="H34" s="52">
        <f>+F34*G34</f>
        <v>466788.28149999998</v>
      </c>
    </row>
    <row r="35" spans="2:8" x14ac:dyDescent="0.3">
      <c r="B35" s="268"/>
      <c r="C35" s="91" t="s">
        <v>56</v>
      </c>
      <c r="D35" s="26" t="s">
        <v>332</v>
      </c>
      <c r="E35" s="78" t="s">
        <v>331</v>
      </c>
      <c r="F35" s="46">
        <v>906</v>
      </c>
      <c r="G35" s="48">
        <v>1855</v>
      </c>
      <c r="H35" s="52">
        <f>+F35*G35</f>
        <v>1680630</v>
      </c>
    </row>
    <row r="36" spans="2:8" x14ac:dyDescent="0.3">
      <c r="B36" s="268"/>
      <c r="C36" s="91" t="s">
        <v>236</v>
      </c>
      <c r="D36" s="26" t="s">
        <v>70</v>
      </c>
      <c r="E36" s="78" t="s">
        <v>327</v>
      </c>
      <c r="F36" s="46">
        <v>47.75</v>
      </c>
      <c r="G36" s="48">
        <v>173310</v>
      </c>
      <c r="H36" s="52">
        <f>+F36*G36</f>
        <v>8275552.5</v>
      </c>
    </row>
    <row r="37" spans="2:8" x14ac:dyDescent="0.3">
      <c r="B37" s="268"/>
      <c r="C37" s="91" t="s">
        <v>237</v>
      </c>
      <c r="D37" s="26" t="s">
        <v>673</v>
      </c>
      <c r="E37" s="78" t="s">
        <v>328</v>
      </c>
      <c r="F37" s="46">
        <f>(9.92+112.251)+((170.61*0.4)*2)+((24.98*0.3)*2)</f>
        <v>273.64700000000005</v>
      </c>
      <c r="G37" s="48">
        <v>1855</v>
      </c>
      <c r="H37" s="52">
        <f>+F37*G37</f>
        <v>507615.18500000011</v>
      </c>
    </row>
    <row r="38" spans="2:8" x14ac:dyDescent="0.3">
      <c r="B38" s="268"/>
      <c r="C38" s="91" t="s">
        <v>628</v>
      </c>
      <c r="D38" s="26" t="s">
        <v>378</v>
      </c>
      <c r="E38" s="78" t="s">
        <v>328</v>
      </c>
      <c r="F38" s="46">
        <f>(9.92+112.251)+((170.61*0.4)*2)+((24.98*0.3)*2)</f>
        <v>273.64700000000005</v>
      </c>
      <c r="G38" s="38">
        <v>2840</v>
      </c>
      <c r="H38" s="52">
        <f>+F38*G38</f>
        <v>777157.4800000001</v>
      </c>
    </row>
    <row r="39" spans="2:8" x14ac:dyDescent="0.3">
      <c r="B39" s="268"/>
      <c r="C39" s="192" t="s">
        <v>620</v>
      </c>
      <c r="D39" s="193" t="s">
        <v>621</v>
      </c>
      <c r="E39" s="194"/>
      <c r="F39" s="195"/>
      <c r="G39" s="196"/>
      <c r="H39" s="197"/>
    </row>
    <row r="40" spans="2:8" x14ac:dyDescent="0.3">
      <c r="B40" s="268"/>
      <c r="C40" s="91" t="s">
        <v>622</v>
      </c>
      <c r="D40" s="198" t="s">
        <v>676</v>
      </c>
      <c r="E40" s="78" t="s">
        <v>328</v>
      </c>
      <c r="F40" s="46">
        <f>+F42*0.55</f>
        <v>6.6000000000000005</v>
      </c>
      <c r="G40" s="38">
        <v>840</v>
      </c>
      <c r="H40" s="52">
        <f>+G40*F40</f>
        <v>5544</v>
      </c>
    </row>
    <row r="41" spans="2:8" x14ac:dyDescent="0.3">
      <c r="B41" s="268"/>
      <c r="C41" s="91" t="s">
        <v>623</v>
      </c>
      <c r="D41" s="154" t="s">
        <v>36</v>
      </c>
      <c r="E41" s="78" t="s">
        <v>327</v>
      </c>
      <c r="F41" s="46">
        <f>+F30*0.05</f>
        <v>1.5000000000000003E-2</v>
      </c>
      <c r="G41" s="48">
        <v>76229</v>
      </c>
      <c r="H41" s="52">
        <f>+F41*G41</f>
        <v>1143.4350000000002</v>
      </c>
    </row>
    <row r="42" spans="2:8" x14ac:dyDescent="0.3">
      <c r="B42" s="268"/>
      <c r="C42" s="91" t="s">
        <v>624</v>
      </c>
      <c r="D42" s="198" t="s">
        <v>625</v>
      </c>
      <c r="E42" s="78" t="s">
        <v>163</v>
      </c>
      <c r="F42" s="46">
        <v>12</v>
      </c>
      <c r="G42" s="48">
        <v>106450</v>
      </c>
      <c r="H42" s="52">
        <f t="shared" ref="H42:H43" si="0">+F42*G42</f>
        <v>1277400</v>
      </c>
    </row>
    <row r="43" spans="2:8" x14ac:dyDescent="0.3">
      <c r="B43" s="268"/>
      <c r="C43" s="91" t="s">
        <v>626</v>
      </c>
      <c r="D43" s="198" t="s">
        <v>627</v>
      </c>
      <c r="E43" s="78" t="s">
        <v>163</v>
      </c>
      <c r="F43" s="46">
        <v>12</v>
      </c>
      <c r="G43" s="48">
        <v>57136</v>
      </c>
      <c r="H43" s="52">
        <f t="shared" si="0"/>
        <v>685632</v>
      </c>
    </row>
    <row r="44" spans="2:8" x14ac:dyDescent="0.3">
      <c r="B44" s="268"/>
      <c r="C44" s="61" t="s">
        <v>71</v>
      </c>
      <c r="D44" s="62" t="s">
        <v>72</v>
      </c>
      <c r="E44" s="79"/>
      <c r="F44" s="60"/>
      <c r="G44" s="56"/>
      <c r="H44" s="80"/>
    </row>
    <row r="45" spans="2:8" x14ac:dyDescent="0.3">
      <c r="B45" s="268"/>
      <c r="C45" s="91" t="s">
        <v>73</v>
      </c>
      <c r="D45" s="26" t="s">
        <v>76</v>
      </c>
      <c r="E45" s="78" t="s">
        <v>331</v>
      </c>
      <c r="F45" s="46">
        <v>894</v>
      </c>
      <c r="G45" s="48">
        <v>1540</v>
      </c>
      <c r="H45" s="52">
        <f t="shared" ref="H45:H51" si="1">+F45*G45</f>
        <v>1376760</v>
      </c>
    </row>
    <row r="46" spans="2:8" x14ac:dyDescent="0.3">
      <c r="B46" s="268"/>
      <c r="C46" s="91" t="s">
        <v>74</v>
      </c>
      <c r="D46" s="26" t="s">
        <v>77</v>
      </c>
      <c r="E46" s="78" t="s">
        <v>328</v>
      </c>
      <c r="F46" s="46">
        <f>+(((46.88*0.6)*2)+(46.88*0.13))+(((24.98*0.6)*2)+(24.98*0.15))+(((193.14*0.6)*2)+(193.14*0.18))</f>
        <v>362.60659999999996</v>
      </c>
      <c r="G46" s="48">
        <v>10748.59</v>
      </c>
      <c r="H46" s="52">
        <f t="shared" si="1"/>
        <v>3897509.6746939998</v>
      </c>
    </row>
    <row r="47" spans="2:8" x14ac:dyDescent="0.3">
      <c r="B47" s="268"/>
      <c r="C47" s="91" t="s">
        <v>75</v>
      </c>
      <c r="D47" s="26" t="s">
        <v>718</v>
      </c>
      <c r="E47" s="96" t="s">
        <v>327</v>
      </c>
      <c r="F47" s="46">
        <v>3.58</v>
      </c>
      <c r="G47" s="48">
        <v>165960</v>
      </c>
      <c r="H47" s="52">
        <f t="shared" si="1"/>
        <v>594136.80000000005</v>
      </c>
    </row>
    <row r="48" spans="2:8" x14ac:dyDescent="0.3">
      <c r="B48" s="268"/>
      <c r="C48" s="91" t="s">
        <v>238</v>
      </c>
      <c r="D48" s="26" t="s">
        <v>717</v>
      </c>
      <c r="E48" s="96" t="s">
        <v>327</v>
      </c>
      <c r="F48" s="46">
        <v>1.1200000000000001</v>
      </c>
      <c r="G48" s="48">
        <v>170960</v>
      </c>
      <c r="H48" s="52">
        <f t="shared" si="1"/>
        <v>191475.20000000001</v>
      </c>
    </row>
    <row r="49" spans="2:8" x14ac:dyDescent="0.3">
      <c r="B49" s="268"/>
      <c r="C49" s="91" t="s">
        <v>239</v>
      </c>
      <c r="D49" s="26" t="s">
        <v>719</v>
      </c>
      <c r="E49" s="96" t="s">
        <v>327</v>
      </c>
      <c r="F49" s="46">
        <v>20.62</v>
      </c>
      <c r="G49" s="48">
        <v>175960</v>
      </c>
      <c r="H49" s="52">
        <f t="shared" si="1"/>
        <v>3628295.2</v>
      </c>
    </row>
    <row r="50" spans="2:8" x14ac:dyDescent="0.3">
      <c r="B50" s="268"/>
      <c r="C50" s="91" t="s">
        <v>715</v>
      </c>
      <c r="D50" s="26" t="s">
        <v>673</v>
      </c>
      <c r="E50" s="96" t="s">
        <v>328</v>
      </c>
      <c r="F50" s="46">
        <f>+F46</f>
        <v>362.60659999999996</v>
      </c>
      <c r="G50" s="48">
        <v>1855</v>
      </c>
      <c r="H50" s="52">
        <f t="shared" si="1"/>
        <v>672635.2429999999</v>
      </c>
    </row>
    <row r="51" spans="2:8" x14ac:dyDescent="0.3">
      <c r="B51" s="268"/>
      <c r="C51" s="91" t="s">
        <v>716</v>
      </c>
      <c r="D51" s="26" t="s">
        <v>376</v>
      </c>
      <c r="E51" s="96" t="s">
        <v>328</v>
      </c>
      <c r="F51" s="46">
        <f>+F46</f>
        <v>362.60659999999996</v>
      </c>
      <c r="G51" s="38">
        <v>2840</v>
      </c>
      <c r="H51" s="52">
        <f t="shared" si="1"/>
        <v>1029802.7439999998</v>
      </c>
    </row>
    <row r="52" spans="2:8" x14ac:dyDescent="0.3">
      <c r="B52" s="268"/>
      <c r="C52" s="61" t="s">
        <v>78</v>
      </c>
      <c r="D52" s="62" t="s">
        <v>82</v>
      </c>
      <c r="E52" s="100"/>
      <c r="F52" s="60"/>
      <c r="G52" s="56"/>
      <c r="H52" s="80"/>
    </row>
    <row r="53" spans="2:8" x14ac:dyDescent="0.3">
      <c r="B53" s="268"/>
      <c r="C53" s="91" t="s">
        <v>79</v>
      </c>
      <c r="D53" s="27" t="s">
        <v>156</v>
      </c>
      <c r="E53" s="78" t="s">
        <v>327</v>
      </c>
      <c r="F53" s="46">
        <f>(222+323)*0.25</f>
        <v>136.25</v>
      </c>
      <c r="G53" s="48">
        <v>28500</v>
      </c>
      <c r="H53" s="52">
        <f t="shared" ref="H53:H59" si="2">+F53*G53</f>
        <v>3883125</v>
      </c>
    </row>
    <row r="54" spans="2:8" x14ac:dyDescent="0.3">
      <c r="B54" s="268"/>
      <c r="C54" s="91" t="s">
        <v>80</v>
      </c>
      <c r="D54" s="27" t="s">
        <v>83</v>
      </c>
      <c r="E54" s="99" t="s">
        <v>327</v>
      </c>
      <c r="F54" s="46">
        <f>(222+323)*0.1</f>
        <v>54.5</v>
      </c>
      <c r="G54" s="48">
        <v>21500</v>
      </c>
      <c r="H54" s="52">
        <f t="shared" si="2"/>
        <v>1171750</v>
      </c>
    </row>
    <row r="55" spans="2:8" x14ac:dyDescent="0.3">
      <c r="B55" s="268"/>
      <c r="C55" s="91" t="s">
        <v>81</v>
      </c>
      <c r="D55" s="27" t="s">
        <v>677</v>
      </c>
      <c r="E55" s="96" t="s">
        <v>328</v>
      </c>
      <c r="F55" s="46">
        <f>222+323</f>
        <v>545</v>
      </c>
      <c r="G55" s="48">
        <v>1680</v>
      </c>
      <c r="H55" s="52">
        <f t="shared" si="2"/>
        <v>915600</v>
      </c>
    </row>
    <row r="56" spans="2:8" x14ac:dyDescent="0.3">
      <c r="B56" s="268"/>
      <c r="C56" s="91" t="s">
        <v>84</v>
      </c>
      <c r="D56" s="26" t="s">
        <v>378</v>
      </c>
      <c r="E56" s="96" t="s">
        <v>328</v>
      </c>
      <c r="F56" s="46">
        <v>323</v>
      </c>
      <c r="G56" s="38">
        <v>2240</v>
      </c>
      <c r="H56" s="52">
        <f>+F56*G56</f>
        <v>723520</v>
      </c>
    </row>
    <row r="57" spans="2:8" x14ac:dyDescent="0.3">
      <c r="B57" s="268"/>
      <c r="C57" s="91" t="s">
        <v>85</v>
      </c>
      <c r="D57" s="27" t="s">
        <v>666</v>
      </c>
      <c r="E57" s="96" t="s">
        <v>328</v>
      </c>
      <c r="F57" s="46">
        <f>+F55</f>
        <v>545</v>
      </c>
      <c r="G57" s="48">
        <v>6540</v>
      </c>
      <c r="H57" s="52">
        <f t="shared" si="2"/>
        <v>3564300</v>
      </c>
    </row>
    <row r="58" spans="2:8" x14ac:dyDescent="0.3">
      <c r="B58" s="268"/>
      <c r="C58" s="91" t="s">
        <v>133</v>
      </c>
      <c r="D58" s="26" t="s">
        <v>665</v>
      </c>
      <c r="E58" s="78" t="s">
        <v>327</v>
      </c>
      <c r="F58" s="46">
        <v>28.1</v>
      </c>
      <c r="G58" s="48">
        <v>166900</v>
      </c>
      <c r="H58" s="52">
        <f t="shared" si="2"/>
        <v>4689890</v>
      </c>
    </row>
    <row r="59" spans="2:8" x14ac:dyDescent="0.3">
      <c r="B59" s="268"/>
      <c r="C59" s="91" t="s">
        <v>379</v>
      </c>
      <c r="D59" s="26" t="s">
        <v>333</v>
      </c>
      <c r="E59" s="78" t="s">
        <v>327</v>
      </c>
      <c r="F59" s="46">
        <v>24.58</v>
      </c>
      <c r="G59" s="48">
        <v>172900</v>
      </c>
      <c r="H59" s="52">
        <f t="shared" si="2"/>
        <v>4249882</v>
      </c>
    </row>
    <row r="60" spans="2:8" x14ac:dyDescent="0.3">
      <c r="B60" s="268"/>
      <c r="C60" s="61" t="s">
        <v>87</v>
      </c>
      <c r="D60" s="62" t="s">
        <v>86</v>
      </c>
      <c r="E60" s="79"/>
      <c r="F60" s="60"/>
      <c r="G60" s="56"/>
      <c r="H60" s="80"/>
    </row>
    <row r="61" spans="2:8" x14ac:dyDescent="0.3">
      <c r="B61" s="268"/>
      <c r="C61" s="117" t="s">
        <v>88</v>
      </c>
      <c r="D61" s="133" t="s">
        <v>684</v>
      </c>
      <c r="E61" s="134"/>
      <c r="F61" s="114"/>
      <c r="G61" s="115"/>
      <c r="H61" s="116"/>
    </row>
    <row r="62" spans="2:8" x14ac:dyDescent="0.3">
      <c r="B62" s="268"/>
      <c r="C62" s="91" t="s">
        <v>683</v>
      </c>
      <c r="D62" s="26" t="s">
        <v>668</v>
      </c>
      <c r="E62" s="78" t="s">
        <v>329</v>
      </c>
      <c r="F62" s="46">
        <v>453.55</v>
      </c>
      <c r="G62" s="38">
        <f>1715+500</f>
        <v>2215</v>
      </c>
      <c r="H62" s="52">
        <f t="shared" ref="H62:H77" si="3">+F62*G62</f>
        <v>1004613.25</v>
      </c>
    </row>
    <row r="63" spans="2:8" x14ac:dyDescent="0.3">
      <c r="B63" s="268"/>
      <c r="C63" s="91" t="s">
        <v>686</v>
      </c>
      <c r="D63" s="26" t="s">
        <v>674</v>
      </c>
      <c r="E63" s="78" t="s">
        <v>329</v>
      </c>
      <c r="F63" s="46">
        <v>25.62</v>
      </c>
      <c r="G63" s="38">
        <f>1498.3+500</f>
        <v>1998.3</v>
      </c>
      <c r="H63" s="52">
        <f t="shared" si="3"/>
        <v>51196.446000000004</v>
      </c>
    </row>
    <row r="64" spans="2:8" x14ac:dyDescent="0.3">
      <c r="B64" s="268"/>
      <c r="C64" s="91" t="s">
        <v>687</v>
      </c>
      <c r="D64" s="26" t="s">
        <v>721</v>
      </c>
      <c r="E64" s="78" t="s">
        <v>329</v>
      </c>
      <c r="F64" s="46">
        <v>93.1</v>
      </c>
      <c r="G64" s="38">
        <v>2851</v>
      </c>
      <c r="H64" s="52">
        <f t="shared" si="3"/>
        <v>265428.09999999998</v>
      </c>
    </row>
    <row r="65" spans="2:8" x14ac:dyDescent="0.3">
      <c r="B65" s="268"/>
      <c r="C65" s="91" t="s">
        <v>688</v>
      </c>
      <c r="D65" s="26" t="s">
        <v>722</v>
      </c>
      <c r="E65" s="78" t="s">
        <v>329</v>
      </c>
      <c r="F65" s="46">
        <v>37.74</v>
      </c>
      <c r="G65" s="38">
        <v>2565</v>
      </c>
      <c r="H65" s="52">
        <f t="shared" si="3"/>
        <v>96803.1</v>
      </c>
    </row>
    <row r="66" spans="2:8" x14ac:dyDescent="0.3">
      <c r="B66" s="268"/>
      <c r="C66" s="91" t="s">
        <v>689</v>
      </c>
      <c r="D66" s="26" t="s">
        <v>725</v>
      </c>
      <c r="E66" s="78" t="s">
        <v>329</v>
      </c>
      <c r="F66" s="46">
        <v>766.97</v>
      </c>
      <c r="G66" s="38">
        <v>2851</v>
      </c>
      <c r="H66" s="52">
        <f t="shared" ref="H66:H67" si="4">+F66*G66</f>
        <v>2186631.4700000002</v>
      </c>
    </row>
    <row r="67" spans="2:8" x14ac:dyDescent="0.3">
      <c r="B67" s="268"/>
      <c r="C67" s="91" t="s">
        <v>723</v>
      </c>
      <c r="D67" s="26" t="s">
        <v>724</v>
      </c>
      <c r="E67" s="78" t="s">
        <v>329</v>
      </c>
      <c r="F67" s="46">
        <v>95.78</v>
      </c>
      <c r="G67" s="38">
        <v>2565</v>
      </c>
      <c r="H67" s="52">
        <f t="shared" si="4"/>
        <v>245675.7</v>
      </c>
    </row>
    <row r="68" spans="2:8" x14ac:dyDescent="0.3">
      <c r="B68" s="268"/>
      <c r="C68" s="65" t="s">
        <v>726</v>
      </c>
      <c r="D68" s="66" t="s">
        <v>690</v>
      </c>
      <c r="E68" s="97"/>
      <c r="F68" s="67"/>
      <c r="G68" s="68"/>
      <c r="H68" s="89"/>
    </row>
    <row r="69" spans="2:8" x14ac:dyDescent="0.3">
      <c r="B69" s="268"/>
      <c r="C69" s="91" t="s">
        <v>727</v>
      </c>
      <c r="D69" s="26" t="s">
        <v>668</v>
      </c>
      <c r="E69" s="78" t="s">
        <v>329</v>
      </c>
      <c r="F69" s="46">
        <v>1439.63</v>
      </c>
      <c r="G69" s="38">
        <f>1715+500</f>
        <v>2215</v>
      </c>
      <c r="H69" s="52">
        <f t="shared" ref="H69:H72" si="5">+F69*G69</f>
        <v>3188780.45</v>
      </c>
    </row>
    <row r="70" spans="2:8" x14ac:dyDescent="0.3">
      <c r="B70" s="268"/>
      <c r="C70" s="91" t="s">
        <v>728</v>
      </c>
      <c r="D70" s="26" t="s">
        <v>674</v>
      </c>
      <c r="E70" s="78" t="s">
        <v>329</v>
      </c>
      <c r="F70" s="46">
        <v>810.21</v>
      </c>
      <c r="G70" s="38">
        <f>1498.3+500</f>
        <v>1998.3</v>
      </c>
      <c r="H70" s="52">
        <f t="shared" si="5"/>
        <v>1619042.6429999999</v>
      </c>
    </row>
    <row r="71" spans="2:8" x14ac:dyDescent="0.3">
      <c r="B71" s="268"/>
      <c r="C71" s="91" t="s">
        <v>729</v>
      </c>
      <c r="D71" s="26" t="s">
        <v>691</v>
      </c>
      <c r="E71" s="78" t="s">
        <v>329</v>
      </c>
      <c r="F71" s="46">
        <v>238.09</v>
      </c>
      <c r="G71" s="38">
        <v>2851</v>
      </c>
      <c r="H71" s="52">
        <f t="shared" si="5"/>
        <v>678794.59</v>
      </c>
    </row>
    <row r="72" spans="2:8" x14ac:dyDescent="0.3">
      <c r="B72" s="268"/>
      <c r="C72" s="91" t="s">
        <v>730</v>
      </c>
      <c r="D72" s="26" t="s">
        <v>675</v>
      </c>
      <c r="E72" s="78" t="s">
        <v>329</v>
      </c>
      <c r="F72" s="46">
        <v>84.07</v>
      </c>
      <c r="G72" s="38">
        <v>2565</v>
      </c>
      <c r="H72" s="52">
        <f t="shared" si="5"/>
        <v>215639.55</v>
      </c>
    </row>
    <row r="73" spans="2:8" x14ac:dyDescent="0.3">
      <c r="B73" s="268"/>
      <c r="C73" s="65" t="s">
        <v>731</v>
      </c>
      <c r="D73" s="66" t="s">
        <v>711</v>
      </c>
      <c r="E73" s="97"/>
      <c r="F73" s="67"/>
      <c r="G73" s="68"/>
      <c r="H73" s="89"/>
    </row>
    <row r="74" spans="2:8" x14ac:dyDescent="0.3">
      <c r="B74" s="268"/>
      <c r="C74" s="91" t="s">
        <v>732</v>
      </c>
      <c r="D74" s="28" t="s">
        <v>183</v>
      </c>
      <c r="E74" s="78" t="s">
        <v>329</v>
      </c>
      <c r="F74" s="46">
        <v>284</v>
      </c>
      <c r="G74" s="38">
        <v>1200</v>
      </c>
      <c r="H74" s="88">
        <f t="shared" si="3"/>
        <v>340800</v>
      </c>
    </row>
    <row r="75" spans="2:8" x14ac:dyDescent="0.3">
      <c r="B75" s="268"/>
      <c r="C75" s="117" t="s">
        <v>89</v>
      </c>
      <c r="D75" s="163" t="s">
        <v>698</v>
      </c>
      <c r="E75" s="134"/>
      <c r="F75" s="114"/>
      <c r="G75" s="115"/>
      <c r="H75" s="116"/>
    </row>
    <row r="76" spans="2:8" x14ac:dyDescent="0.3">
      <c r="B76" s="268"/>
      <c r="C76" s="91" t="s">
        <v>702</v>
      </c>
      <c r="D76" s="198" t="s">
        <v>699</v>
      </c>
      <c r="E76" s="78" t="s">
        <v>331</v>
      </c>
      <c r="F76" s="45">
        <f>+(2.49*2)*13.9</f>
        <v>69.222000000000008</v>
      </c>
      <c r="G76" s="38">
        <v>3280</v>
      </c>
      <c r="H76" s="88">
        <f t="shared" si="3"/>
        <v>227048.16000000003</v>
      </c>
    </row>
    <row r="77" spans="2:8" x14ac:dyDescent="0.3">
      <c r="B77" s="268"/>
      <c r="C77" s="91" t="s">
        <v>705</v>
      </c>
      <c r="D77" s="198" t="s">
        <v>700</v>
      </c>
      <c r="E77" s="78" t="s">
        <v>331</v>
      </c>
      <c r="F77" s="45">
        <f>16.18*8.96</f>
        <v>144.97280000000001</v>
      </c>
      <c r="G77" s="38">
        <v>3280</v>
      </c>
      <c r="H77" s="88">
        <f t="shared" si="3"/>
        <v>475510.78400000004</v>
      </c>
    </row>
    <row r="78" spans="2:8" x14ac:dyDescent="0.3">
      <c r="B78" s="268"/>
      <c r="C78" s="117" t="s">
        <v>240</v>
      </c>
      <c r="D78" s="163" t="s">
        <v>701</v>
      </c>
      <c r="E78" s="134"/>
      <c r="F78" s="114"/>
      <c r="G78" s="115"/>
      <c r="H78" s="116"/>
    </row>
    <row r="79" spans="2:8" x14ac:dyDescent="0.3">
      <c r="B79" s="268"/>
      <c r="C79" s="91" t="s">
        <v>706</v>
      </c>
      <c r="D79" s="198" t="s">
        <v>703</v>
      </c>
      <c r="E79" s="78" t="s">
        <v>331</v>
      </c>
      <c r="F79" s="45">
        <f>+(2.6*10)*11.73</f>
        <v>304.98</v>
      </c>
      <c r="G79" s="38">
        <v>3280</v>
      </c>
      <c r="H79" s="199">
        <f t="shared" ref="H79:H80" si="6">+F79*G79</f>
        <v>1000334.4</v>
      </c>
    </row>
    <row r="80" spans="2:8" x14ac:dyDescent="0.3">
      <c r="B80" s="268"/>
      <c r="C80" s="91" t="s">
        <v>707</v>
      </c>
      <c r="D80" s="198" t="s">
        <v>700</v>
      </c>
      <c r="E80" s="78" t="s">
        <v>331</v>
      </c>
      <c r="F80" s="45">
        <f>29.12*8.96</f>
        <v>260.91520000000003</v>
      </c>
      <c r="G80" s="38">
        <v>2480</v>
      </c>
      <c r="H80" s="199">
        <f t="shared" si="6"/>
        <v>647069.69600000011</v>
      </c>
    </row>
    <row r="81" spans="2:8" x14ac:dyDescent="0.3">
      <c r="B81" s="268"/>
      <c r="C81" s="61" t="s">
        <v>90</v>
      </c>
      <c r="D81" s="62" t="s">
        <v>180</v>
      </c>
      <c r="E81" s="79"/>
      <c r="F81" s="60"/>
      <c r="G81" s="56"/>
      <c r="H81" s="80"/>
    </row>
    <row r="82" spans="2:8" x14ac:dyDescent="0.3">
      <c r="B82" s="268"/>
      <c r="C82" s="117" t="s">
        <v>91</v>
      </c>
      <c r="D82" s="133" t="s">
        <v>684</v>
      </c>
      <c r="E82" s="134"/>
      <c r="F82" s="114"/>
      <c r="G82" s="115"/>
      <c r="H82" s="116"/>
    </row>
    <row r="83" spans="2:8" x14ac:dyDescent="0.3">
      <c r="B83" s="268"/>
      <c r="C83" s="91" t="s">
        <v>692</v>
      </c>
      <c r="D83" s="26" t="s">
        <v>668</v>
      </c>
      <c r="E83" s="78" t="s">
        <v>329</v>
      </c>
      <c r="F83" s="46">
        <v>1906.81</v>
      </c>
      <c r="G83" s="38">
        <f>1715+500</f>
        <v>2215</v>
      </c>
      <c r="H83" s="52">
        <f t="shared" ref="H83:H86" si="7">+F83*G83</f>
        <v>4223584.1499999994</v>
      </c>
    </row>
    <row r="84" spans="2:8" x14ac:dyDescent="0.3">
      <c r="B84" s="268"/>
      <c r="C84" s="91" t="s">
        <v>693</v>
      </c>
      <c r="D84" s="26" t="s">
        <v>674</v>
      </c>
      <c r="E84" s="78" t="s">
        <v>329</v>
      </c>
      <c r="F84" s="46">
        <v>118.66</v>
      </c>
      <c r="G84" s="38">
        <f>1498.3+500</f>
        <v>1998.3</v>
      </c>
      <c r="H84" s="52">
        <f t="shared" si="7"/>
        <v>237118.27799999999</v>
      </c>
    </row>
    <row r="85" spans="2:8" x14ac:dyDescent="0.3">
      <c r="B85" s="268"/>
      <c r="C85" s="91" t="s">
        <v>694</v>
      </c>
      <c r="D85" s="26" t="s">
        <v>685</v>
      </c>
      <c r="E85" s="78" t="s">
        <v>329</v>
      </c>
      <c r="F85" s="46">
        <v>90.95</v>
      </c>
      <c r="G85" s="38">
        <v>2851</v>
      </c>
      <c r="H85" s="52">
        <f t="shared" si="7"/>
        <v>259298.45</v>
      </c>
    </row>
    <row r="86" spans="2:8" x14ac:dyDescent="0.3">
      <c r="B86" s="268"/>
      <c r="C86" s="91" t="s">
        <v>695</v>
      </c>
      <c r="D86" s="26" t="s">
        <v>667</v>
      </c>
      <c r="E86" s="78" t="s">
        <v>329</v>
      </c>
      <c r="F86" s="46">
        <v>126.73</v>
      </c>
      <c r="G86" s="38">
        <v>2851</v>
      </c>
      <c r="H86" s="52">
        <f t="shared" si="7"/>
        <v>361307.23000000004</v>
      </c>
    </row>
    <row r="87" spans="2:8" x14ac:dyDescent="0.3">
      <c r="B87" s="268"/>
      <c r="C87" s="91" t="s">
        <v>696</v>
      </c>
      <c r="D87" s="26" t="s">
        <v>734</v>
      </c>
      <c r="E87" s="78" t="s">
        <v>329</v>
      </c>
      <c r="F87" s="46">
        <v>9.43</v>
      </c>
      <c r="G87" s="38">
        <v>2851</v>
      </c>
      <c r="H87" s="52">
        <f t="shared" ref="H87" si="8">+F87*G87</f>
        <v>26884.93</v>
      </c>
    </row>
    <row r="88" spans="2:8" x14ac:dyDescent="0.3">
      <c r="B88" s="268"/>
      <c r="C88" s="91" t="s">
        <v>697</v>
      </c>
      <c r="D88" s="27" t="s">
        <v>39</v>
      </c>
      <c r="E88" s="96" t="s">
        <v>329</v>
      </c>
      <c r="F88" s="46">
        <f>+(29.11*23)+(29.11*18)+(3.915*21)</f>
        <v>1275.7249999999999</v>
      </c>
      <c r="G88" s="38">
        <v>2560</v>
      </c>
      <c r="H88" s="88">
        <f>+F88*G88</f>
        <v>3265856</v>
      </c>
    </row>
    <row r="89" spans="2:8" x14ac:dyDescent="0.3">
      <c r="B89" s="268"/>
      <c r="C89" s="91" t="s">
        <v>733</v>
      </c>
      <c r="D89" s="28" t="s">
        <v>185</v>
      </c>
      <c r="E89" s="78" t="s">
        <v>329</v>
      </c>
      <c r="F89" s="46">
        <f>+(3*27.44)+(2.2*13)+(29.118*3)+(1.89*13)+(27.1198*8)+(2.49*26)+(15.82*5)+(2.47*26)+(3.42*26)+(3.54*26)+(2.49*13)+(1.24*14)+(1.27*8)+(0.84*7)+(2.02*7)+(3.64*13)+(1.29*10)+(1.76*4)+(2.38*5)+(13*5.56)+(3.71*5)+(16*1.63)+(16*1.49)+(18*2.66)+(1.61*8)+80</f>
        <v>1269.4023999999999</v>
      </c>
      <c r="G89" s="38">
        <v>820</v>
      </c>
      <c r="H89" s="52">
        <f>+F89*G89</f>
        <v>1040909.968</v>
      </c>
    </row>
    <row r="90" spans="2:8" x14ac:dyDescent="0.3">
      <c r="B90" s="268"/>
      <c r="C90" s="65" t="s">
        <v>731</v>
      </c>
      <c r="D90" s="66" t="s">
        <v>690</v>
      </c>
      <c r="E90" s="97"/>
      <c r="F90" s="67"/>
      <c r="G90" s="68"/>
      <c r="H90" s="89"/>
    </row>
    <row r="91" spans="2:8" x14ac:dyDescent="0.3">
      <c r="B91" s="268"/>
      <c r="C91" s="91" t="s">
        <v>732</v>
      </c>
      <c r="D91" s="26" t="s">
        <v>668</v>
      </c>
      <c r="E91" s="78" t="s">
        <v>329</v>
      </c>
      <c r="F91" s="46">
        <v>788.8</v>
      </c>
      <c r="G91" s="38">
        <f>1715+500</f>
        <v>2215</v>
      </c>
      <c r="H91" s="52">
        <f t="shared" ref="H91:H92" si="9">+F91*G91</f>
        <v>1747192</v>
      </c>
    </row>
    <row r="92" spans="2:8" x14ac:dyDescent="0.3">
      <c r="B92" s="268"/>
      <c r="C92" s="91" t="s">
        <v>735</v>
      </c>
      <c r="D92" s="26" t="s">
        <v>674</v>
      </c>
      <c r="E92" s="78" t="s">
        <v>329</v>
      </c>
      <c r="F92" s="46">
        <v>69.38</v>
      </c>
      <c r="G92" s="38">
        <f>1498.3+500</f>
        <v>1998.3</v>
      </c>
      <c r="H92" s="52">
        <f t="shared" si="9"/>
        <v>138642.05399999997</v>
      </c>
    </row>
    <row r="93" spans="2:8" x14ac:dyDescent="0.3">
      <c r="B93" s="268"/>
      <c r="C93" s="61" t="s">
        <v>92</v>
      </c>
      <c r="D93" s="62" t="s">
        <v>31</v>
      </c>
      <c r="E93" s="79"/>
      <c r="F93" s="60"/>
      <c r="G93" s="56"/>
      <c r="H93" s="80"/>
    </row>
    <row r="94" spans="2:8" x14ac:dyDescent="0.3">
      <c r="B94" s="268"/>
      <c r="C94" s="91" t="s">
        <v>93</v>
      </c>
      <c r="D94" s="26" t="s">
        <v>597</v>
      </c>
      <c r="E94" s="96" t="s">
        <v>328</v>
      </c>
      <c r="F94" s="46">
        <f>291.27+10+4.25</f>
        <v>305.52</v>
      </c>
      <c r="G94" s="38">
        <v>7500</v>
      </c>
      <c r="H94" s="52">
        <f>+F94*G94</f>
        <v>2291400</v>
      </c>
    </row>
    <row r="95" spans="2:8" x14ac:dyDescent="0.3">
      <c r="B95" s="268"/>
      <c r="C95" s="91" t="s">
        <v>94</v>
      </c>
      <c r="D95" s="26" t="s">
        <v>380</v>
      </c>
      <c r="E95" s="96" t="s">
        <v>328</v>
      </c>
      <c r="F95" s="46">
        <f>259.335+207.695+30.529</f>
        <v>497.55899999999997</v>
      </c>
      <c r="G95" s="48" t="e">
        <f>+#REF!</f>
        <v>#REF!</v>
      </c>
      <c r="H95" s="52" t="e">
        <f>+F95*G95</f>
        <v>#REF!</v>
      </c>
    </row>
    <row r="96" spans="2:8" x14ac:dyDescent="0.3">
      <c r="B96" s="268"/>
      <c r="C96" s="91" t="s">
        <v>95</v>
      </c>
      <c r="D96" s="26" t="s">
        <v>381</v>
      </c>
      <c r="E96" s="96" t="s">
        <v>328</v>
      </c>
      <c r="F96" s="46">
        <f t="shared" ref="F96:F97" si="10">259.335+207.695+30.529</f>
        <v>497.55899999999997</v>
      </c>
      <c r="G96" s="38">
        <v>3412</v>
      </c>
      <c r="H96" s="52">
        <f>+F96*G96</f>
        <v>1697671.308</v>
      </c>
    </row>
    <row r="97" spans="2:8" x14ac:dyDescent="0.3">
      <c r="B97" s="268"/>
      <c r="C97" s="91" t="s">
        <v>96</v>
      </c>
      <c r="D97" s="27" t="s">
        <v>678</v>
      </c>
      <c r="E97" s="96" t="s">
        <v>328</v>
      </c>
      <c r="F97" s="46">
        <f t="shared" si="10"/>
        <v>497.55899999999997</v>
      </c>
      <c r="G97" s="38">
        <v>14514</v>
      </c>
      <c r="H97" s="52">
        <f>+F97*G97</f>
        <v>7221571.3259999994</v>
      </c>
    </row>
    <row r="98" spans="2:8" x14ac:dyDescent="0.3">
      <c r="B98" s="268"/>
      <c r="C98" s="65" t="s">
        <v>97</v>
      </c>
      <c r="D98" s="66" t="s">
        <v>139</v>
      </c>
      <c r="E98" s="97"/>
      <c r="F98" s="67"/>
      <c r="G98" s="68"/>
      <c r="H98" s="89"/>
    </row>
    <row r="99" spans="2:8" x14ac:dyDescent="0.3">
      <c r="B99" s="268"/>
      <c r="C99" s="91" t="s">
        <v>157</v>
      </c>
      <c r="D99" s="26" t="s">
        <v>617</v>
      </c>
      <c r="E99" s="96" t="s">
        <v>329</v>
      </c>
      <c r="F99" s="46">
        <f>+(29.11*3)+7.86+7.86+9.9+9.9+1.6+0.83</f>
        <v>125.28</v>
      </c>
      <c r="G99" s="38">
        <v>13650</v>
      </c>
      <c r="H99" s="52">
        <f t="shared" ref="H99:H104" si="11">+F99*G99</f>
        <v>1710072</v>
      </c>
    </row>
    <row r="100" spans="2:8" x14ac:dyDescent="0.3">
      <c r="B100" s="268"/>
      <c r="C100" s="91" t="s">
        <v>158</v>
      </c>
      <c r="D100" s="26" t="s">
        <v>140</v>
      </c>
      <c r="E100" s="96" t="s">
        <v>329</v>
      </c>
      <c r="F100" s="46">
        <f>+(((1+1+1.35+1.35)*4)+((1.8+1.8+0.35+0.35)*2)+((2.2+2.2+1.35+1.35)*4)+((2.35+2.35+1.35+1.35)*1)+((0.86+0.86+0.6+0.6)*17)+(1.6+0.16+1.6+1.6)+((1+1+1.35+1.35)*3)+((1.55+1.55+1.35+1.35)*6))+(2.4+2.4+1.65)+(2.4+2.4+1.8)+((2.35+2.35+0.9)*4)</f>
        <v>202.15</v>
      </c>
      <c r="G100" s="38">
        <v>12838</v>
      </c>
      <c r="H100" s="52">
        <f t="shared" si="11"/>
        <v>2595201.7000000002</v>
      </c>
    </row>
    <row r="101" spans="2:8" x14ac:dyDescent="0.3">
      <c r="B101" s="268"/>
      <c r="C101" s="91" t="s">
        <v>159</v>
      </c>
      <c r="D101" s="26" t="s">
        <v>679</v>
      </c>
      <c r="E101" s="78" t="s">
        <v>329</v>
      </c>
      <c r="F101" s="46">
        <v>125.22</v>
      </c>
      <c r="G101" s="38">
        <v>10838</v>
      </c>
      <c r="H101" s="52">
        <f t="shared" si="11"/>
        <v>1357134.36</v>
      </c>
    </row>
    <row r="102" spans="2:8" x14ac:dyDescent="0.3">
      <c r="B102" s="268"/>
      <c r="C102" s="91" t="s">
        <v>160</v>
      </c>
      <c r="D102" s="26" t="s">
        <v>181</v>
      </c>
      <c r="E102" s="96" t="s">
        <v>329</v>
      </c>
      <c r="F102" s="46">
        <f>29.169+29.169+4.79+3.8</f>
        <v>66.927999999999997</v>
      </c>
      <c r="G102" s="38">
        <v>9750</v>
      </c>
      <c r="H102" s="52">
        <f t="shared" si="11"/>
        <v>652548</v>
      </c>
    </row>
    <row r="103" spans="2:8" x14ac:dyDescent="0.3">
      <c r="B103" s="268"/>
      <c r="C103" s="91" t="s">
        <v>161</v>
      </c>
      <c r="D103" s="26" t="s">
        <v>182</v>
      </c>
      <c r="E103" s="96" t="s">
        <v>329</v>
      </c>
      <c r="F103" s="46">
        <f>+(2.95*5)+(2.6*5)</f>
        <v>27.75</v>
      </c>
      <c r="G103" s="38">
        <v>11977</v>
      </c>
      <c r="H103" s="52">
        <f t="shared" si="11"/>
        <v>332361.75</v>
      </c>
    </row>
    <row r="104" spans="2:8" x14ac:dyDescent="0.3">
      <c r="B104" s="268"/>
      <c r="C104" s="91" t="s">
        <v>162</v>
      </c>
      <c r="D104" s="26" t="s">
        <v>382</v>
      </c>
      <c r="E104" s="96" t="s">
        <v>329</v>
      </c>
      <c r="F104" s="46">
        <f>125.22+(3.95+3.95+2.65+2.65)+3+9</f>
        <v>150.41999999999999</v>
      </c>
      <c r="G104" s="38">
        <v>14032</v>
      </c>
      <c r="H104" s="52">
        <f t="shared" si="11"/>
        <v>2110693.44</v>
      </c>
    </row>
    <row r="105" spans="2:8" x14ac:dyDescent="0.3">
      <c r="B105" s="268"/>
      <c r="C105" s="61" t="s">
        <v>98</v>
      </c>
      <c r="D105" s="62" t="s">
        <v>99</v>
      </c>
      <c r="E105" s="79"/>
      <c r="F105" s="60"/>
      <c r="G105" s="56"/>
      <c r="H105" s="80"/>
    </row>
    <row r="106" spans="2:8" x14ac:dyDescent="0.3">
      <c r="B106" s="268"/>
      <c r="C106" s="91" t="s">
        <v>100</v>
      </c>
      <c r="D106" s="26" t="s">
        <v>383</v>
      </c>
      <c r="E106" s="96" t="s">
        <v>328</v>
      </c>
      <c r="F106" s="46">
        <f>+F107+F108</f>
        <v>226.52</v>
      </c>
      <c r="G106" s="38">
        <v>2680</v>
      </c>
      <c r="H106" s="52">
        <f>+F106*G106</f>
        <v>607073.6</v>
      </c>
    </row>
    <row r="107" spans="2:8" x14ac:dyDescent="0.3">
      <c r="B107" s="268"/>
      <c r="C107" s="91" t="s">
        <v>241</v>
      </c>
      <c r="D107" s="27" t="s">
        <v>709</v>
      </c>
      <c r="E107" s="96" t="s">
        <v>328</v>
      </c>
      <c r="F107" s="46">
        <f>17.67+16.67</f>
        <v>34.340000000000003</v>
      </c>
      <c r="G107" s="38" t="e">
        <f>+#REF!</f>
        <v>#REF!</v>
      </c>
      <c r="H107" s="52" t="e">
        <f>+F107*G107</f>
        <v>#REF!</v>
      </c>
    </row>
    <row r="108" spans="2:8" x14ac:dyDescent="0.3">
      <c r="B108" s="268"/>
      <c r="C108" s="91" t="s">
        <v>101</v>
      </c>
      <c r="D108" s="26" t="s">
        <v>714</v>
      </c>
      <c r="E108" s="96" t="s">
        <v>328</v>
      </c>
      <c r="F108" s="46">
        <f>177.22+14.96</f>
        <v>192.18</v>
      </c>
      <c r="G108" s="48" t="e">
        <f>+#REF!</f>
        <v>#REF!</v>
      </c>
      <c r="H108" s="52" t="e">
        <f>+F108*G108</f>
        <v>#REF!</v>
      </c>
    </row>
    <row r="109" spans="2:8" x14ac:dyDescent="0.3">
      <c r="B109" s="268"/>
      <c r="C109" s="91" t="s">
        <v>708</v>
      </c>
      <c r="D109" s="26" t="s">
        <v>712</v>
      </c>
      <c r="E109" s="96" t="s">
        <v>328</v>
      </c>
      <c r="F109" s="46">
        <f>177.22+14.96</f>
        <v>192.18</v>
      </c>
      <c r="G109" s="38">
        <v>28100</v>
      </c>
      <c r="H109" s="52">
        <f>+F109*G109</f>
        <v>5400258</v>
      </c>
    </row>
    <row r="110" spans="2:8" x14ac:dyDescent="0.3">
      <c r="B110" s="268"/>
      <c r="C110" s="61" t="s">
        <v>388</v>
      </c>
      <c r="D110" s="62" t="s">
        <v>102</v>
      </c>
      <c r="E110" s="79"/>
      <c r="F110" s="60"/>
      <c r="G110" s="56"/>
      <c r="H110" s="80"/>
    </row>
    <row r="111" spans="2:8" x14ac:dyDescent="0.3">
      <c r="B111" s="268"/>
      <c r="C111" s="91" t="s">
        <v>389</v>
      </c>
      <c r="D111" s="26" t="s">
        <v>398</v>
      </c>
      <c r="E111" s="96" t="s">
        <v>328</v>
      </c>
      <c r="F111" s="46">
        <f>215.18+31.46+17.67+168.79+177.2+29.41+3.25</f>
        <v>642.95999999999992</v>
      </c>
      <c r="G111" s="38">
        <v>7500</v>
      </c>
      <c r="H111" s="52">
        <f>+F111*G111</f>
        <v>4822199.9999999991</v>
      </c>
    </row>
    <row r="112" spans="2:8" x14ac:dyDescent="0.3">
      <c r="B112" s="268"/>
      <c r="C112" s="91" t="s">
        <v>390</v>
      </c>
      <c r="D112" s="26" t="s">
        <v>680</v>
      </c>
      <c r="E112" s="96" t="s">
        <v>328</v>
      </c>
      <c r="F112" s="46">
        <f>+(215.18*2)+31.46+(17.67*2)+(168.79*2)+(177.22*2)+(29.41*2)+3.25+3.25</f>
        <v>1254.5</v>
      </c>
      <c r="G112" s="48" t="e">
        <f>+#REF!</f>
        <v>#REF!</v>
      </c>
      <c r="H112" s="52" t="e">
        <f>+F112*G112</f>
        <v>#REF!</v>
      </c>
    </row>
    <row r="113" spans="2:8" x14ac:dyDescent="0.3">
      <c r="B113" s="268"/>
      <c r="C113" s="91" t="s">
        <v>391</v>
      </c>
      <c r="D113" s="26" t="s">
        <v>736</v>
      </c>
      <c r="E113" s="96" t="s">
        <v>328</v>
      </c>
      <c r="F113" s="46">
        <f>+F106</f>
        <v>226.52</v>
      </c>
      <c r="G113" s="48">
        <v>3680</v>
      </c>
      <c r="H113" s="52">
        <f>+F113*G113</f>
        <v>833593.60000000009</v>
      </c>
    </row>
    <row r="114" spans="2:8" x14ac:dyDescent="0.3">
      <c r="B114" s="268"/>
      <c r="C114" s="61" t="s">
        <v>242</v>
      </c>
      <c r="D114" s="118" t="s">
        <v>146</v>
      </c>
      <c r="E114" s="131"/>
      <c r="F114" s="119"/>
      <c r="G114" s="120"/>
      <c r="H114" s="121"/>
    </row>
    <row r="115" spans="2:8" ht="17.25" thickBot="1" x14ac:dyDescent="0.35">
      <c r="B115" s="269"/>
      <c r="C115" s="110" t="s">
        <v>243</v>
      </c>
      <c r="D115" s="110" t="s">
        <v>587</v>
      </c>
      <c r="E115" s="81" t="s">
        <v>329</v>
      </c>
      <c r="F115" s="82">
        <f>+F23</f>
        <v>109.4</v>
      </c>
      <c r="G115" s="53">
        <v>148526</v>
      </c>
      <c r="H115" s="83">
        <f>F115*G115</f>
        <v>16248744.4</v>
      </c>
    </row>
    <row r="116" spans="2:8" ht="17.25" thickBot="1" x14ac:dyDescent="0.35">
      <c r="B116" s="23"/>
      <c r="C116" s="30"/>
      <c r="D116" s="239" t="s">
        <v>14</v>
      </c>
      <c r="E116" s="240"/>
      <c r="F116" s="240"/>
      <c r="G116" s="241"/>
      <c r="H116" s="94" t="e">
        <f>SUM(H34:H115)</f>
        <v>#REF!</v>
      </c>
    </row>
    <row r="117" spans="2:8" ht="17.25" thickBot="1" x14ac:dyDescent="0.35">
      <c r="B117" s="23"/>
      <c r="C117" s="30"/>
      <c r="D117" s="8"/>
      <c r="E117" s="3"/>
      <c r="F117" s="51"/>
      <c r="G117" s="21"/>
      <c r="H117" s="22"/>
    </row>
    <row r="118" spans="2:8" x14ac:dyDescent="0.3">
      <c r="B118" s="267" t="s">
        <v>108</v>
      </c>
      <c r="C118" s="63" t="s">
        <v>103</v>
      </c>
      <c r="D118" s="126" t="s">
        <v>409</v>
      </c>
      <c r="E118" s="74"/>
      <c r="F118" s="86"/>
      <c r="G118" s="76"/>
      <c r="H118" s="77"/>
    </row>
    <row r="119" spans="2:8" x14ac:dyDescent="0.3">
      <c r="B119" s="268"/>
      <c r="C119" s="122" t="s">
        <v>244</v>
      </c>
      <c r="D119" s="127" t="s">
        <v>408</v>
      </c>
      <c r="E119" s="129"/>
      <c r="F119" s="123"/>
      <c r="G119" s="124"/>
      <c r="H119" s="125"/>
    </row>
    <row r="120" spans="2:8" x14ac:dyDescent="0.3">
      <c r="B120" s="268"/>
      <c r="C120" s="91" t="s">
        <v>400</v>
      </c>
      <c r="D120" s="29" t="s">
        <v>384</v>
      </c>
      <c r="E120" s="96" t="s">
        <v>328</v>
      </c>
      <c r="F120" s="46">
        <v>257.31</v>
      </c>
      <c r="G120" s="38">
        <v>30543</v>
      </c>
      <c r="H120" s="52">
        <f>F120*G120</f>
        <v>7859019.3300000001</v>
      </c>
    </row>
    <row r="121" spans="2:8" x14ac:dyDescent="0.3">
      <c r="B121" s="268"/>
      <c r="C121" s="91" t="s">
        <v>401</v>
      </c>
      <c r="D121" s="29" t="s">
        <v>392</v>
      </c>
      <c r="E121" s="96" t="s">
        <v>328</v>
      </c>
      <c r="F121" s="46">
        <v>31.71</v>
      </c>
      <c r="G121" s="38">
        <v>32300</v>
      </c>
      <c r="H121" s="52">
        <f>F121*G121</f>
        <v>1024233</v>
      </c>
    </row>
    <row r="122" spans="2:8" x14ac:dyDescent="0.3">
      <c r="B122" s="268"/>
      <c r="C122" s="91" t="s">
        <v>402</v>
      </c>
      <c r="D122" s="26" t="s">
        <v>393</v>
      </c>
      <c r="E122" s="96" t="s">
        <v>329</v>
      </c>
      <c r="F122" s="46">
        <v>263.14999999999998</v>
      </c>
      <c r="G122" s="38">
        <v>8337</v>
      </c>
      <c r="H122" s="52">
        <f>+F122*G122</f>
        <v>2193881.5499999998</v>
      </c>
    </row>
    <row r="123" spans="2:8" x14ac:dyDescent="0.3">
      <c r="B123" s="268"/>
      <c r="C123" s="65" t="s">
        <v>15</v>
      </c>
      <c r="D123" s="66" t="s">
        <v>403</v>
      </c>
      <c r="E123" s="97"/>
      <c r="F123" s="67"/>
      <c r="G123" s="68"/>
      <c r="H123" s="89"/>
    </row>
    <row r="124" spans="2:8" x14ac:dyDescent="0.3">
      <c r="B124" s="268"/>
      <c r="C124" s="91" t="s">
        <v>404</v>
      </c>
      <c r="D124" s="27" t="s">
        <v>395</v>
      </c>
      <c r="E124" s="96" t="s">
        <v>328</v>
      </c>
      <c r="F124" s="46">
        <f>8.79+31.5+(126.91*2)+44.36+5.53+22.24+154.14+(147.77*2)</f>
        <v>815.92000000000007</v>
      </c>
      <c r="G124" s="38" t="e">
        <f>+#REF!</f>
        <v>#REF!</v>
      </c>
      <c r="H124" s="52" t="e">
        <f>+F124*G124</f>
        <v>#REF!</v>
      </c>
    </row>
    <row r="125" spans="2:8" x14ac:dyDescent="0.3">
      <c r="B125" s="268"/>
      <c r="C125" s="91" t="s">
        <v>405</v>
      </c>
      <c r="D125" s="27" t="s">
        <v>35</v>
      </c>
      <c r="E125" s="96" t="s">
        <v>328</v>
      </c>
      <c r="F125" s="46">
        <f>+F124/2</f>
        <v>407.96000000000004</v>
      </c>
      <c r="G125" s="38">
        <v>5600</v>
      </c>
      <c r="H125" s="52">
        <f>+F125*G125</f>
        <v>2284576</v>
      </c>
    </row>
    <row r="126" spans="2:8" x14ac:dyDescent="0.3">
      <c r="B126" s="268"/>
      <c r="C126" s="91" t="s">
        <v>406</v>
      </c>
      <c r="D126" s="27" t="s">
        <v>397</v>
      </c>
      <c r="E126" s="96" t="s">
        <v>328</v>
      </c>
      <c r="F126" s="46">
        <f>+F124/2</f>
        <v>407.96000000000004</v>
      </c>
      <c r="G126" s="38">
        <v>3600</v>
      </c>
      <c r="H126" s="52">
        <f>+F126*G126</f>
        <v>1468656.0000000002</v>
      </c>
    </row>
    <row r="127" spans="2:8" x14ac:dyDescent="0.3">
      <c r="B127" s="268"/>
      <c r="C127" s="65" t="s">
        <v>16</v>
      </c>
      <c r="D127" s="66" t="s">
        <v>399</v>
      </c>
      <c r="E127" s="97"/>
      <c r="F127" s="67"/>
      <c r="G127" s="68"/>
      <c r="H127" s="89"/>
    </row>
    <row r="128" spans="2:8" x14ac:dyDescent="0.3">
      <c r="B128" s="268"/>
      <c r="C128" s="91" t="s">
        <v>407</v>
      </c>
      <c r="D128" s="27" t="s">
        <v>396</v>
      </c>
      <c r="E128" s="96" t="s">
        <v>328</v>
      </c>
      <c r="F128" s="46">
        <f>8.79+31.5+3.03+3.03+20.35+20.35+17.39+5.53+22.24+6.02+6.02+28.75+28.75</f>
        <v>201.75000000000003</v>
      </c>
      <c r="G128" s="38" t="e">
        <f>+#REF!</f>
        <v>#REF!</v>
      </c>
      <c r="H128" s="52" t="e">
        <f>+F128*G128</f>
        <v>#REF!</v>
      </c>
    </row>
    <row r="129" spans="2:8" x14ac:dyDescent="0.3">
      <c r="B129" s="268"/>
      <c r="C129" s="65" t="s">
        <v>410</v>
      </c>
      <c r="D129" s="66" t="s">
        <v>412</v>
      </c>
      <c r="E129" s="97"/>
      <c r="F129" s="67"/>
      <c r="G129" s="68"/>
      <c r="H129" s="89"/>
    </row>
    <row r="130" spans="2:8" x14ac:dyDescent="0.3">
      <c r="B130" s="268"/>
      <c r="C130" s="91" t="s">
        <v>411</v>
      </c>
      <c r="D130" s="26" t="s">
        <v>739</v>
      </c>
      <c r="E130" s="96" t="s">
        <v>328</v>
      </c>
      <c r="F130" s="46">
        <f>+F128</f>
        <v>201.75000000000003</v>
      </c>
      <c r="G130" s="38">
        <v>26503</v>
      </c>
      <c r="H130" s="52">
        <f>+F130*G130</f>
        <v>5346980.2500000009</v>
      </c>
    </row>
    <row r="131" spans="2:8" x14ac:dyDescent="0.3">
      <c r="B131" s="268"/>
      <c r="C131" s="61" t="s">
        <v>43</v>
      </c>
      <c r="D131" s="62" t="s">
        <v>352</v>
      </c>
      <c r="E131" s="79"/>
      <c r="F131" s="60"/>
      <c r="G131" s="56"/>
      <c r="H131" s="80"/>
    </row>
    <row r="132" spans="2:8" x14ac:dyDescent="0.3">
      <c r="B132" s="268"/>
      <c r="C132" s="65" t="s">
        <v>44</v>
      </c>
      <c r="D132" s="66" t="s">
        <v>353</v>
      </c>
      <c r="E132" s="97"/>
      <c r="F132" s="67"/>
      <c r="G132" s="68"/>
      <c r="H132" s="89"/>
    </row>
    <row r="133" spans="2:8" x14ac:dyDescent="0.3">
      <c r="B133" s="268"/>
      <c r="C133" s="91" t="s">
        <v>413</v>
      </c>
      <c r="D133" s="27" t="s">
        <v>740</v>
      </c>
      <c r="E133" s="96" t="s">
        <v>328</v>
      </c>
      <c r="F133" s="46">
        <v>208.98</v>
      </c>
      <c r="G133" s="38">
        <v>12855</v>
      </c>
      <c r="H133" s="52">
        <f>+F133*G133</f>
        <v>2686437.9</v>
      </c>
    </row>
    <row r="134" spans="2:8" x14ac:dyDescent="0.3">
      <c r="B134" s="268"/>
      <c r="C134" s="91" t="s">
        <v>414</v>
      </c>
      <c r="D134" s="27" t="s">
        <v>394</v>
      </c>
      <c r="E134" s="96" t="s">
        <v>328</v>
      </c>
      <c r="F134" s="46">
        <v>36.51</v>
      </c>
      <c r="G134" s="38" t="e">
        <f>+#REF!</f>
        <v>#REF!</v>
      </c>
      <c r="H134" s="52" t="e">
        <f>+F134*G134</f>
        <v>#REF!</v>
      </c>
    </row>
    <row r="135" spans="2:8" x14ac:dyDescent="0.3">
      <c r="B135" s="268"/>
      <c r="C135" s="91" t="s">
        <v>415</v>
      </c>
      <c r="D135" s="27" t="s">
        <v>35</v>
      </c>
      <c r="E135" s="96" t="s">
        <v>328</v>
      </c>
      <c r="F135" s="46">
        <f>+(F134+F133)/2</f>
        <v>122.74499999999999</v>
      </c>
      <c r="G135" s="38">
        <v>5600</v>
      </c>
      <c r="H135" s="52">
        <f>+F135*G135</f>
        <v>687372</v>
      </c>
    </row>
    <row r="136" spans="2:8" x14ac:dyDescent="0.3">
      <c r="B136" s="268"/>
      <c r="C136" s="91" t="s">
        <v>416</v>
      </c>
      <c r="D136" s="27" t="s">
        <v>397</v>
      </c>
      <c r="E136" s="96" t="s">
        <v>328</v>
      </c>
      <c r="F136" s="46">
        <f>+F135</f>
        <v>122.74499999999999</v>
      </c>
      <c r="G136" s="38">
        <v>3600</v>
      </c>
      <c r="H136" s="52">
        <f>+F136*G136</f>
        <v>441881.99999999994</v>
      </c>
    </row>
    <row r="137" spans="2:8" x14ac:dyDescent="0.3">
      <c r="B137" s="268"/>
      <c r="C137" s="65" t="s">
        <v>104</v>
      </c>
      <c r="D137" s="66" t="s">
        <v>351</v>
      </c>
      <c r="E137" s="97"/>
      <c r="F137" s="67"/>
      <c r="G137" s="68"/>
      <c r="H137" s="89"/>
    </row>
    <row r="138" spans="2:8" x14ac:dyDescent="0.3">
      <c r="B138" s="268"/>
      <c r="C138" s="91" t="s">
        <v>418</v>
      </c>
      <c r="D138" s="26" t="s">
        <v>618</v>
      </c>
      <c r="E138" s="78" t="s">
        <v>329</v>
      </c>
      <c r="F138" s="46">
        <f>+(29.11*3)+7.86+7.86+9.9+9.9+1.6+0.83</f>
        <v>125.28</v>
      </c>
      <c r="G138" s="38">
        <v>7171</v>
      </c>
      <c r="H138" s="52">
        <f>+F138*G138</f>
        <v>898382.88</v>
      </c>
    </row>
    <row r="139" spans="2:8" x14ac:dyDescent="0.3">
      <c r="B139" s="268"/>
      <c r="C139" s="91" t="s">
        <v>419</v>
      </c>
      <c r="D139" s="26" t="s">
        <v>421</v>
      </c>
      <c r="E139" s="78" t="s">
        <v>328</v>
      </c>
      <c r="F139" s="46">
        <v>155</v>
      </c>
      <c r="G139" s="38" t="e">
        <f>+#REF!</f>
        <v>#REF!</v>
      </c>
      <c r="H139" s="52" t="e">
        <f>+F139*G139</f>
        <v>#REF!</v>
      </c>
    </row>
    <row r="140" spans="2:8" x14ac:dyDescent="0.3">
      <c r="B140" s="268"/>
      <c r="C140" s="91" t="s">
        <v>420</v>
      </c>
      <c r="D140" s="26" t="s">
        <v>422</v>
      </c>
      <c r="E140" s="78" t="s">
        <v>329</v>
      </c>
      <c r="F140" s="46">
        <f>87*2+35</f>
        <v>209</v>
      </c>
      <c r="G140" s="38">
        <v>4563</v>
      </c>
      <c r="H140" s="52">
        <f>+F140*G140</f>
        <v>953667</v>
      </c>
    </row>
    <row r="141" spans="2:8" x14ac:dyDescent="0.3">
      <c r="B141" s="268"/>
      <c r="C141" s="61" t="s">
        <v>45</v>
      </c>
      <c r="D141" s="62" t="s">
        <v>40</v>
      </c>
      <c r="E141" s="79"/>
      <c r="F141" s="60"/>
      <c r="G141" s="56"/>
      <c r="H141" s="80"/>
    </row>
    <row r="142" spans="2:8" x14ac:dyDescent="0.3">
      <c r="B142" s="268"/>
      <c r="C142" s="91" t="s">
        <v>46</v>
      </c>
      <c r="D142" s="26" t="s">
        <v>746</v>
      </c>
      <c r="E142" s="78" t="s">
        <v>163</v>
      </c>
      <c r="F142" s="46">
        <v>18</v>
      </c>
      <c r="G142" s="38">
        <v>309560</v>
      </c>
      <c r="H142" s="52">
        <f>+F142*G142</f>
        <v>5572080</v>
      </c>
    </row>
    <row r="143" spans="2:8" x14ac:dyDescent="0.3">
      <c r="B143" s="268"/>
      <c r="C143" s="91" t="s">
        <v>47</v>
      </c>
      <c r="D143" s="26" t="s">
        <v>429</v>
      </c>
      <c r="E143" s="78" t="s">
        <v>163</v>
      </c>
      <c r="F143" s="46">
        <v>1</v>
      </c>
      <c r="G143" s="38">
        <v>409561</v>
      </c>
      <c r="H143" s="52">
        <f>+F143*G143</f>
        <v>409561</v>
      </c>
    </row>
    <row r="144" spans="2:8" x14ac:dyDescent="0.3">
      <c r="B144" s="268"/>
      <c r="C144" s="91" t="s">
        <v>48</v>
      </c>
      <c r="D144" s="26" t="s">
        <v>619</v>
      </c>
      <c r="E144" s="78" t="s">
        <v>163</v>
      </c>
      <c r="F144" s="46">
        <v>4</v>
      </c>
      <c r="G144" s="38">
        <v>279561</v>
      </c>
      <c r="H144" s="52">
        <f t="shared" ref="H144:H148" si="12">+F144*G144</f>
        <v>1118244</v>
      </c>
    </row>
    <row r="145" spans="2:8" x14ac:dyDescent="0.3">
      <c r="B145" s="268"/>
      <c r="C145" s="91" t="s">
        <v>423</v>
      </c>
      <c r="D145" s="26" t="s">
        <v>424</v>
      </c>
      <c r="E145" s="78" t="s">
        <v>163</v>
      </c>
      <c r="F145" s="46">
        <v>2</v>
      </c>
      <c r="G145" s="38">
        <v>315420</v>
      </c>
      <c r="H145" s="52">
        <f t="shared" si="12"/>
        <v>630840</v>
      </c>
    </row>
    <row r="146" spans="2:8" x14ac:dyDescent="0.3">
      <c r="B146" s="268"/>
      <c r="C146" s="91" t="s">
        <v>245</v>
      </c>
      <c r="D146" s="26" t="s">
        <v>430</v>
      </c>
      <c r="E146" s="78" t="s">
        <v>163</v>
      </c>
      <c r="F146" s="46">
        <v>1</v>
      </c>
      <c r="G146" s="38">
        <v>384500</v>
      </c>
      <c r="H146" s="52">
        <f t="shared" si="12"/>
        <v>384500</v>
      </c>
    </row>
    <row r="147" spans="2:8" x14ac:dyDescent="0.3">
      <c r="B147" s="268"/>
      <c r="C147" s="91" t="s">
        <v>425</v>
      </c>
      <c r="D147" s="26" t="s">
        <v>427</v>
      </c>
      <c r="E147" s="78" t="s">
        <v>163</v>
      </c>
      <c r="F147" s="46">
        <v>2</v>
      </c>
      <c r="G147" s="38">
        <v>154810</v>
      </c>
      <c r="H147" s="52">
        <f t="shared" si="12"/>
        <v>309620</v>
      </c>
    </row>
    <row r="148" spans="2:8" x14ac:dyDescent="0.3">
      <c r="B148" s="268"/>
      <c r="C148" s="91" t="s">
        <v>426</v>
      </c>
      <c r="D148" s="26" t="s">
        <v>428</v>
      </c>
      <c r="E148" s="78" t="s">
        <v>163</v>
      </c>
      <c r="F148" s="46">
        <v>2</v>
      </c>
      <c r="G148" s="38">
        <v>159811</v>
      </c>
      <c r="H148" s="52">
        <f t="shared" si="12"/>
        <v>319622</v>
      </c>
    </row>
    <row r="149" spans="2:8" x14ac:dyDescent="0.3">
      <c r="B149" s="268"/>
      <c r="C149" s="91" t="s">
        <v>431</v>
      </c>
      <c r="D149" s="26" t="s">
        <v>432</v>
      </c>
      <c r="E149" s="78" t="s">
        <v>329</v>
      </c>
      <c r="F149" s="46">
        <f>+((0.95+2.62+2.62)*16)+(1.15+2.62+2.62)+((0.8+2.62+2.62)*4)</f>
        <v>129.59</v>
      </c>
      <c r="G149" s="38">
        <v>8410</v>
      </c>
      <c r="H149" s="52">
        <f>+F149*G149</f>
        <v>1089851.9000000001</v>
      </c>
    </row>
    <row r="150" spans="2:8" x14ac:dyDescent="0.3">
      <c r="B150" s="268"/>
      <c r="C150" s="91" t="s">
        <v>748</v>
      </c>
      <c r="D150" s="26" t="s">
        <v>747</v>
      </c>
      <c r="E150" s="78" t="s">
        <v>329</v>
      </c>
      <c r="F150" s="46">
        <f>+(0.9+4)*4</f>
        <v>19.600000000000001</v>
      </c>
      <c r="G150" s="38">
        <v>7010</v>
      </c>
      <c r="H150" s="52">
        <f>+F150*G150</f>
        <v>137396</v>
      </c>
    </row>
    <row r="151" spans="2:8" x14ac:dyDescent="0.3">
      <c r="B151" s="268"/>
      <c r="C151" s="61" t="s">
        <v>49</v>
      </c>
      <c r="D151" s="62" t="s">
        <v>41</v>
      </c>
      <c r="E151" s="79"/>
      <c r="F151" s="60"/>
      <c r="G151" s="56"/>
      <c r="H151" s="80"/>
    </row>
    <row r="152" spans="2:8" x14ac:dyDescent="0.3">
      <c r="B152" s="268"/>
      <c r="C152" s="91" t="s">
        <v>50</v>
      </c>
      <c r="D152" s="26" t="s">
        <v>738</v>
      </c>
      <c r="E152" s="96" t="s">
        <v>328</v>
      </c>
      <c r="F152" s="46">
        <f>+((1.55*1.35)*6)+((1*1.35)*3)+(1.6*1.6)+((2.35*1.35)*1)+((2.2*1.35)*3)+(0.8*0.6)+(0.864*0.6)*17+((2.22*1.35)+(0.95*0.5))</f>
        <v>44.01230000000001</v>
      </c>
      <c r="G152" s="49">
        <v>238520</v>
      </c>
      <c r="H152" s="52">
        <f>+F152*G152</f>
        <v>10497813.796000002</v>
      </c>
    </row>
    <row r="153" spans="2:8" x14ac:dyDescent="0.3">
      <c r="B153" s="268"/>
      <c r="C153" s="91" t="s">
        <v>51</v>
      </c>
      <c r="D153" s="26" t="s">
        <v>737</v>
      </c>
      <c r="E153" s="96" t="s">
        <v>328</v>
      </c>
      <c r="F153" s="46">
        <f>+((0.95*0.5)*15)+((1.15*0.5)*1)</f>
        <v>7.7</v>
      </c>
      <c r="G153" s="49">
        <v>238521</v>
      </c>
      <c r="H153" s="52">
        <f>+F153*G153</f>
        <v>1836611.7</v>
      </c>
    </row>
    <row r="154" spans="2:8" x14ac:dyDescent="0.3">
      <c r="B154" s="268"/>
      <c r="C154" s="61" t="s">
        <v>52</v>
      </c>
      <c r="D154" s="62" t="s">
        <v>105</v>
      </c>
      <c r="E154" s="79"/>
      <c r="F154" s="60"/>
      <c r="G154" s="56"/>
      <c r="H154" s="80"/>
    </row>
    <row r="155" spans="2:8" x14ac:dyDescent="0.3">
      <c r="B155" s="268"/>
      <c r="C155" s="91" t="s">
        <v>433</v>
      </c>
      <c r="D155" s="27" t="s">
        <v>435</v>
      </c>
      <c r="E155" s="96" t="s">
        <v>329</v>
      </c>
      <c r="F155" s="46">
        <f>11.49+11.46+8.35+8.31+37.98+8.64+2.9+2.9+8.68+8.68+5.79+5.79+4.99+5+8.49+16.61+14.3+16.4+16.17+14.27+14.3+10.19+7.79+42.27+8.84+11.61+14.27+16.17+16.4</f>
        <v>359.04</v>
      </c>
      <c r="G155" s="38">
        <v>4500</v>
      </c>
      <c r="H155" s="52">
        <f>+F155*G155</f>
        <v>1615680</v>
      </c>
    </row>
    <row r="156" spans="2:8" x14ac:dyDescent="0.3">
      <c r="B156" s="268"/>
      <c r="C156" s="65" t="s">
        <v>434</v>
      </c>
      <c r="D156" s="66" t="s">
        <v>348</v>
      </c>
      <c r="E156" s="97"/>
      <c r="F156" s="67"/>
      <c r="G156" s="68"/>
      <c r="H156" s="89"/>
    </row>
    <row r="157" spans="2:8" x14ac:dyDescent="0.3">
      <c r="B157" s="268"/>
      <c r="C157" s="91" t="s">
        <v>710</v>
      </c>
      <c r="D157" s="27" t="s">
        <v>417</v>
      </c>
      <c r="E157" s="96" t="s">
        <v>329</v>
      </c>
      <c r="F157" s="46">
        <v>48.74</v>
      </c>
      <c r="G157" s="38">
        <v>28400</v>
      </c>
      <c r="H157" s="52">
        <f>+F157*G157</f>
        <v>1384216</v>
      </c>
    </row>
    <row r="158" spans="2:8" x14ac:dyDescent="0.3">
      <c r="B158" s="268"/>
      <c r="C158" s="61" t="s">
        <v>53</v>
      </c>
      <c r="D158" s="62" t="s">
        <v>136</v>
      </c>
      <c r="E158" s="79"/>
      <c r="F158" s="60"/>
      <c r="G158" s="56"/>
      <c r="H158" s="80"/>
    </row>
    <row r="159" spans="2:8" x14ac:dyDescent="0.3">
      <c r="B159" s="268"/>
      <c r="C159" s="91" t="s">
        <v>54</v>
      </c>
      <c r="D159" s="27" t="s">
        <v>681</v>
      </c>
      <c r="E159" s="96" t="s">
        <v>328</v>
      </c>
      <c r="F159" s="46">
        <f>+F139+25</f>
        <v>180</v>
      </c>
      <c r="G159" s="38">
        <v>6150</v>
      </c>
      <c r="H159" s="52">
        <f t="shared" ref="H159:H170" si="13">+F159*G159</f>
        <v>1107000</v>
      </c>
    </row>
    <row r="160" spans="2:8" x14ac:dyDescent="0.3">
      <c r="B160" s="268"/>
      <c r="C160" s="91" t="s">
        <v>437</v>
      </c>
      <c r="D160" s="27" t="s">
        <v>436</v>
      </c>
      <c r="E160" s="96" t="s">
        <v>328</v>
      </c>
      <c r="F160" s="46">
        <f>+F124</f>
        <v>815.92000000000007</v>
      </c>
      <c r="G160" s="38">
        <v>12293</v>
      </c>
      <c r="H160" s="52">
        <f t="shared" si="13"/>
        <v>10030104.560000001</v>
      </c>
    </row>
    <row r="161" spans="2:8" x14ac:dyDescent="0.3">
      <c r="B161" s="268"/>
      <c r="C161" s="91" t="s">
        <v>106</v>
      </c>
      <c r="D161" s="27" t="s">
        <v>330</v>
      </c>
      <c r="E161" s="96" t="s">
        <v>328</v>
      </c>
      <c r="F161" s="46">
        <f>+F134+F133</f>
        <v>245.48999999999998</v>
      </c>
      <c r="G161" s="38">
        <v>8625</v>
      </c>
      <c r="H161" s="52">
        <f t="shared" si="13"/>
        <v>2117351.25</v>
      </c>
    </row>
    <row r="162" spans="2:8" x14ac:dyDescent="0.3">
      <c r="B162" s="268"/>
      <c r="C162" s="91" t="s">
        <v>438</v>
      </c>
      <c r="D162" s="27" t="s">
        <v>749</v>
      </c>
      <c r="E162" s="96" t="s">
        <v>328</v>
      </c>
      <c r="F162" s="46">
        <f>+F108</f>
        <v>192.18</v>
      </c>
      <c r="G162" s="38">
        <v>8087</v>
      </c>
      <c r="H162" s="52">
        <f t="shared" si="13"/>
        <v>1554159.6600000001</v>
      </c>
    </row>
    <row r="163" spans="2:8" x14ac:dyDescent="0.3">
      <c r="B163" s="268"/>
      <c r="C163" s="91" t="s">
        <v>439</v>
      </c>
      <c r="D163" s="27" t="s">
        <v>749</v>
      </c>
      <c r="E163" s="96" t="s">
        <v>328</v>
      </c>
      <c r="F163" s="46">
        <f>+F107</f>
        <v>34.340000000000003</v>
      </c>
      <c r="G163" s="38">
        <v>9587</v>
      </c>
      <c r="H163" s="52">
        <f t="shared" si="13"/>
        <v>329217.58</v>
      </c>
    </row>
    <row r="164" spans="2:8" x14ac:dyDescent="0.3">
      <c r="B164" s="268"/>
      <c r="C164" s="91" t="s">
        <v>440</v>
      </c>
      <c r="D164" s="27" t="s">
        <v>442</v>
      </c>
      <c r="E164" s="96" t="s">
        <v>328</v>
      </c>
      <c r="F164" s="46">
        <f>2.9+2.9+12.5</f>
        <v>18.3</v>
      </c>
      <c r="G164" s="38">
        <v>21800</v>
      </c>
      <c r="H164" s="52">
        <f t="shared" si="13"/>
        <v>398940</v>
      </c>
    </row>
    <row r="165" spans="2:8" x14ac:dyDescent="0.3">
      <c r="B165" s="268"/>
      <c r="C165" s="91" t="s">
        <v>441</v>
      </c>
      <c r="D165" s="183" t="s">
        <v>443</v>
      </c>
      <c r="E165" s="96" t="s">
        <v>328</v>
      </c>
      <c r="F165" s="46">
        <v>35</v>
      </c>
      <c r="G165" s="38">
        <v>6800</v>
      </c>
      <c r="H165" s="52">
        <f t="shared" si="13"/>
        <v>238000</v>
      </c>
    </row>
    <row r="166" spans="2:8" x14ac:dyDescent="0.3">
      <c r="B166" s="268"/>
      <c r="C166" s="91" t="s">
        <v>445</v>
      </c>
      <c r="D166" s="27" t="s">
        <v>444</v>
      </c>
      <c r="E166" s="96" t="s">
        <v>328</v>
      </c>
      <c r="F166" s="46">
        <v>35</v>
      </c>
      <c r="G166" s="38">
        <v>12800</v>
      </c>
      <c r="H166" s="52">
        <f t="shared" si="13"/>
        <v>448000</v>
      </c>
    </row>
    <row r="167" spans="2:8" x14ac:dyDescent="0.3">
      <c r="B167" s="268"/>
      <c r="C167" s="61" t="s">
        <v>150</v>
      </c>
      <c r="D167" s="130" t="s">
        <v>446</v>
      </c>
      <c r="E167" s="131"/>
      <c r="F167" s="119"/>
      <c r="G167" s="120"/>
      <c r="H167" s="121"/>
    </row>
    <row r="168" spans="2:8" x14ac:dyDescent="0.3">
      <c r="B168" s="268"/>
      <c r="C168" s="90" t="s">
        <v>151</v>
      </c>
      <c r="D168" s="132" t="s">
        <v>631</v>
      </c>
      <c r="E168" s="78" t="s">
        <v>329</v>
      </c>
      <c r="F168" s="46">
        <f>1.5+2.5</f>
        <v>4</v>
      </c>
      <c r="G168" s="38">
        <v>94400</v>
      </c>
      <c r="H168" s="52">
        <f t="shared" si="13"/>
        <v>377600</v>
      </c>
    </row>
    <row r="169" spans="2:8" x14ac:dyDescent="0.3">
      <c r="B169" s="268"/>
      <c r="C169" s="90" t="s">
        <v>152</v>
      </c>
      <c r="D169" s="132" t="s">
        <v>449</v>
      </c>
      <c r="E169" s="78" t="s">
        <v>163</v>
      </c>
      <c r="F169" s="46">
        <v>2</v>
      </c>
      <c r="G169" s="38">
        <v>256100</v>
      </c>
      <c r="H169" s="52">
        <f t="shared" si="13"/>
        <v>512200</v>
      </c>
    </row>
    <row r="170" spans="2:8" x14ac:dyDescent="0.3">
      <c r="B170" s="268"/>
      <c r="C170" s="90" t="s">
        <v>349</v>
      </c>
      <c r="D170" s="132" t="s">
        <v>450</v>
      </c>
      <c r="E170" s="78" t="s">
        <v>163</v>
      </c>
      <c r="F170" s="46">
        <v>1</v>
      </c>
      <c r="G170" s="38">
        <v>236100</v>
      </c>
      <c r="H170" s="52">
        <f t="shared" si="13"/>
        <v>236100</v>
      </c>
    </row>
    <row r="171" spans="2:8" x14ac:dyDescent="0.3">
      <c r="B171" s="268"/>
      <c r="C171" s="117" t="s">
        <v>451</v>
      </c>
      <c r="D171" s="133" t="s">
        <v>447</v>
      </c>
      <c r="E171" s="134"/>
      <c r="F171" s="114"/>
      <c r="G171" s="115"/>
      <c r="H171" s="116"/>
    </row>
    <row r="172" spans="2:8" ht="17.25" thickBot="1" x14ac:dyDescent="0.35">
      <c r="B172" s="269"/>
      <c r="C172" s="238" t="s">
        <v>452</v>
      </c>
      <c r="D172" s="128" t="s">
        <v>448</v>
      </c>
      <c r="E172" s="81" t="s">
        <v>177</v>
      </c>
      <c r="F172" s="82">
        <v>1</v>
      </c>
      <c r="G172" s="53">
        <v>284000</v>
      </c>
      <c r="H172" s="83">
        <f t="shared" ref="H172" si="14">+F172*G172</f>
        <v>284000</v>
      </c>
    </row>
    <row r="173" spans="2:8" ht="17.25" thickBot="1" x14ac:dyDescent="0.35">
      <c r="B173" s="31"/>
      <c r="C173" s="30"/>
      <c r="D173" s="239" t="s">
        <v>143</v>
      </c>
      <c r="E173" s="240"/>
      <c r="F173" s="240"/>
      <c r="G173" s="241"/>
      <c r="H173" s="94" t="e">
        <f>SUM(H120:H172)</f>
        <v>#REF!</v>
      </c>
    </row>
    <row r="174" spans="2:8" ht="17.25" thickBot="1" x14ac:dyDescent="0.35">
      <c r="B174" s="23"/>
      <c r="C174" s="30"/>
      <c r="D174" s="8"/>
      <c r="E174" s="3"/>
      <c r="F174" s="51"/>
      <c r="G174" s="21"/>
      <c r="H174" s="22"/>
    </row>
    <row r="175" spans="2:8" x14ac:dyDescent="0.3">
      <c r="B175" s="259" t="s">
        <v>107</v>
      </c>
      <c r="C175" s="63" t="s">
        <v>109</v>
      </c>
      <c r="D175" s="152" t="s">
        <v>453</v>
      </c>
      <c r="E175" s="74"/>
      <c r="F175" s="86"/>
      <c r="G175" s="76"/>
      <c r="H175" s="77"/>
    </row>
    <row r="176" spans="2:8" x14ac:dyDescent="0.3">
      <c r="B176" s="260"/>
      <c r="C176" s="65" t="s">
        <v>37</v>
      </c>
      <c r="D176" s="153" t="s">
        <v>454</v>
      </c>
      <c r="E176" s="97"/>
      <c r="F176" s="67"/>
      <c r="G176" s="68"/>
      <c r="H176" s="89"/>
    </row>
    <row r="177" spans="2:8" x14ac:dyDescent="0.3">
      <c r="B177" s="260"/>
      <c r="C177" s="91" t="s">
        <v>249</v>
      </c>
      <c r="D177" s="154" t="s">
        <v>196</v>
      </c>
      <c r="E177" s="78" t="s">
        <v>327</v>
      </c>
      <c r="F177" s="46">
        <f>121*0.3*0.5</f>
        <v>18.149999999999999</v>
      </c>
      <c r="G177" s="38">
        <v>18900</v>
      </c>
      <c r="H177" s="52">
        <f t="shared" ref="H177:H179" si="15">+F177*G177</f>
        <v>343035</v>
      </c>
    </row>
    <row r="178" spans="2:8" x14ac:dyDescent="0.3">
      <c r="B178" s="260"/>
      <c r="C178" s="91" t="s">
        <v>250</v>
      </c>
      <c r="D178" s="154" t="s">
        <v>197</v>
      </c>
      <c r="E178" s="78" t="s">
        <v>327</v>
      </c>
      <c r="F178" s="46">
        <f>18.15*0.1</f>
        <v>1.8149999999999999</v>
      </c>
      <c r="G178" s="38">
        <v>24580</v>
      </c>
      <c r="H178" s="52">
        <f t="shared" si="15"/>
        <v>44612.7</v>
      </c>
    </row>
    <row r="179" spans="2:8" x14ac:dyDescent="0.3">
      <c r="B179" s="260"/>
      <c r="C179" s="91" t="s">
        <v>251</v>
      </c>
      <c r="D179" s="155" t="s">
        <v>682</v>
      </c>
      <c r="E179" s="78" t="s">
        <v>327</v>
      </c>
      <c r="F179" s="46">
        <f>+F177-F178</f>
        <v>16.334999999999997</v>
      </c>
      <c r="G179" s="38">
        <v>29900</v>
      </c>
      <c r="H179" s="52">
        <f t="shared" si="15"/>
        <v>488416.49999999994</v>
      </c>
    </row>
    <row r="180" spans="2:8" x14ac:dyDescent="0.3">
      <c r="B180" s="260"/>
      <c r="C180" s="65" t="s">
        <v>38</v>
      </c>
      <c r="D180" s="156" t="s">
        <v>200</v>
      </c>
      <c r="E180" s="97"/>
      <c r="F180" s="67"/>
      <c r="G180" s="68"/>
      <c r="H180" s="89"/>
    </row>
    <row r="181" spans="2:8" x14ac:dyDescent="0.3">
      <c r="B181" s="260"/>
      <c r="C181" s="91" t="s">
        <v>252</v>
      </c>
      <c r="D181" s="155" t="s">
        <v>456</v>
      </c>
      <c r="E181" s="96" t="s">
        <v>329</v>
      </c>
      <c r="F181" s="230">
        <v>5.6</v>
      </c>
      <c r="G181" s="38">
        <v>30200</v>
      </c>
      <c r="H181" s="52">
        <f t="shared" ref="H181:H185" si="16">+F181*G181</f>
        <v>169120</v>
      </c>
    </row>
    <row r="182" spans="2:8" x14ac:dyDescent="0.3">
      <c r="B182" s="260"/>
      <c r="C182" s="91" t="s">
        <v>253</v>
      </c>
      <c r="D182" s="155" t="s">
        <v>457</v>
      </c>
      <c r="E182" s="96" t="s">
        <v>329</v>
      </c>
      <c r="F182" s="230">
        <v>48.87</v>
      </c>
      <c r="G182" s="38">
        <v>24350</v>
      </c>
      <c r="H182" s="52">
        <f t="shared" si="16"/>
        <v>1189984.5</v>
      </c>
    </row>
    <row r="183" spans="2:8" x14ac:dyDescent="0.3">
      <c r="B183" s="260"/>
      <c r="C183" s="91" t="s">
        <v>658</v>
      </c>
      <c r="D183" s="155" t="s">
        <v>458</v>
      </c>
      <c r="E183" s="96" t="s">
        <v>329</v>
      </c>
      <c r="F183" s="230">
        <f>15.39+3.49+2</f>
        <v>20.880000000000003</v>
      </c>
      <c r="G183" s="38">
        <v>19025</v>
      </c>
      <c r="H183" s="52">
        <f t="shared" si="16"/>
        <v>397242.00000000006</v>
      </c>
    </row>
    <row r="184" spans="2:8" x14ac:dyDescent="0.3">
      <c r="B184" s="260"/>
      <c r="C184" s="91" t="s">
        <v>659</v>
      </c>
      <c r="D184" s="155" t="s">
        <v>459</v>
      </c>
      <c r="E184" s="96" t="s">
        <v>329</v>
      </c>
      <c r="F184" s="230">
        <v>73.540000000000006</v>
      </c>
      <c r="G184" s="38">
        <v>18750</v>
      </c>
      <c r="H184" s="52">
        <f t="shared" si="16"/>
        <v>1378875.0000000002</v>
      </c>
    </row>
    <row r="185" spans="2:8" x14ac:dyDescent="0.3">
      <c r="B185" s="260"/>
      <c r="C185" s="91" t="s">
        <v>660</v>
      </c>
      <c r="D185" s="155" t="s">
        <v>460</v>
      </c>
      <c r="E185" s="96" t="s">
        <v>329</v>
      </c>
      <c r="F185" s="230">
        <v>39.5</v>
      </c>
      <c r="G185" s="38">
        <v>16250</v>
      </c>
      <c r="H185" s="52">
        <f t="shared" si="16"/>
        <v>641875</v>
      </c>
    </row>
    <row r="186" spans="2:8" x14ac:dyDescent="0.3">
      <c r="B186" s="260"/>
      <c r="C186" s="65" t="s">
        <v>111</v>
      </c>
      <c r="D186" s="156" t="s">
        <v>201</v>
      </c>
      <c r="E186" s="97"/>
      <c r="F186" s="67"/>
      <c r="G186" s="68"/>
      <c r="H186" s="89"/>
    </row>
    <row r="187" spans="2:8" x14ac:dyDescent="0.3">
      <c r="B187" s="260"/>
      <c r="C187" s="91" t="s">
        <v>254</v>
      </c>
      <c r="D187" s="155" t="s">
        <v>461</v>
      </c>
      <c r="E187" s="78" t="s">
        <v>163</v>
      </c>
      <c r="F187" s="46">
        <v>1</v>
      </c>
      <c r="G187" s="38">
        <v>20843</v>
      </c>
      <c r="H187" s="52">
        <f t="shared" ref="H187:H191" si="17">+F187*G187</f>
        <v>20843</v>
      </c>
    </row>
    <row r="188" spans="2:8" x14ac:dyDescent="0.3">
      <c r="B188" s="260"/>
      <c r="C188" s="91" t="s">
        <v>255</v>
      </c>
      <c r="D188" s="155" t="s">
        <v>462</v>
      </c>
      <c r="E188" s="78" t="s">
        <v>163</v>
      </c>
      <c r="F188" s="46">
        <v>1</v>
      </c>
      <c r="G188" s="38">
        <v>42400</v>
      </c>
      <c r="H188" s="52">
        <f t="shared" si="17"/>
        <v>42400</v>
      </c>
    </row>
    <row r="189" spans="2:8" x14ac:dyDescent="0.3">
      <c r="B189" s="260"/>
      <c r="C189" s="91" t="s">
        <v>256</v>
      </c>
      <c r="D189" s="155" t="s">
        <v>663</v>
      </c>
      <c r="E189" s="78" t="s">
        <v>163</v>
      </c>
      <c r="F189" s="230">
        <v>21</v>
      </c>
      <c r="G189" s="38">
        <v>32858</v>
      </c>
      <c r="H189" s="52">
        <f t="shared" si="17"/>
        <v>690018</v>
      </c>
    </row>
    <row r="190" spans="2:8" x14ac:dyDescent="0.3">
      <c r="B190" s="260"/>
      <c r="C190" s="91" t="s">
        <v>257</v>
      </c>
      <c r="D190" s="155" t="s">
        <v>469</v>
      </c>
      <c r="E190" s="78" t="s">
        <v>163</v>
      </c>
      <c r="F190" s="46">
        <v>3</v>
      </c>
      <c r="G190" s="38">
        <v>23400</v>
      </c>
      <c r="H190" s="52">
        <f t="shared" si="17"/>
        <v>70200</v>
      </c>
    </row>
    <row r="191" spans="2:8" x14ac:dyDescent="0.3">
      <c r="B191" s="260"/>
      <c r="C191" s="91" t="s">
        <v>258</v>
      </c>
      <c r="D191" s="155" t="s">
        <v>470</v>
      </c>
      <c r="E191" s="78" t="s">
        <v>163</v>
      </c>
      <c r="F191" s="46">
        <v>3</v>
      </c>
      <c r="G191" s="38">
        <v>18450</v>
      </c>
      <c r="H191" s="52">
        <f t="shared" si="17"/>
        <v>55350</v>
      </c>
    </row>
    <row r="192" spans="2:8" x14ac:dyDescent="0.3">
      <c r="B192" s="260"/>
      <c r="C192" s="65" t="s">
        <v>112</v>
      </c>
      <c r="D192" s="156" t="s">
        <v>202</v>
      </c>
      <c r="E192" s="97"/>
      <c r="F192" s="67"/>
      <c r="G192" s="68"/>
      <c r="H192" s="89"/>
    </row>
    <row r="193" spans="2:8" x14ac:dyDescent="0.3">
      <c r="B193" s="260"/>
      <c r="C193" s="91" t="s">
        <v>137</v>
      </c>
      <c r="D193" s="155" t="s">
        <v>203</v>
      </c>
      <c r="E193" s="78" t="s">
        <v>163</v>
      </c>
      <c r="F193" s="46">
        <v>1</v>
      </c>
      <c r="G193" s="38">
        <v>501450</v>
      </c>
      <c r="H193" s="52">
        <f t="shared" ref="H193:H194" si="18">+F193*G193</f>
        <v>501450</v>
      </c>
    </row>
    <row r="194" spans="2:8" x14ac:dyDescent="0.3">
      <c r="B194" s="260"/>
      <c r="C194" s="91" t="s">
        <v>259</v>
      </c>
      <c r="D194" s="155" t="s">
        <v>463</v>
      </c>
      <c r="E194" s="78" t="s">
        <v>163</v>
      </c>
      <c r="F194" s="46">
        <v>1</v>
      </c>
      <c r="G194" s="38">
        <v>28540</v>
      </c>
      <c r="H194" s="52">
        <f t="shared" si="18"/>
        <v>28540</v>
      </c>
    </row>
    <row r="195" spans="2:8" x14ac:dyDescent="0.3">
      <c r="B195" s="260"/>
      <c r="C195" s="65" t="s">
        <v>260</v>
      </c>
      <c r="D195" s="156" t="s">
        <v>455</v>
      </c>
      <c r="E195" s="97"/>
      <c r="F195" s="67"/>
      <c r="G195" s="68"/>
      <c r="H195" s="89"/>
    </row>
    <row r="196" spans="2:8" x14ac:dyDescent="0.3">
      <c r="B196" s="260"/>
      <c r="C196" s="91" t="s">
        <v>261</v>
      </c>
      <c r="D196" s="155" t="s">
        <v>472</v>
      </c>
      <c r="E196" s="78" t="s">
        <v>329</v>
      </c>
      <c r="F196" s="230">
        <v>48.87</v>
      </c>
      <c r="G196" s="38">
        <v>24350</v>
      </c>
      <c r="H196" s="52">
        <f t="shared" ref="H196:H199" si="19">+F196*G196</f>
        <v>1189984.5</v>
      </c>
    </row>
    <row r="197" spans="2:8" x14ac:dyDescent="0.3">
      <c r="B197" s="260"/>
      <c r="C197" s="91" t="s">
        <v>262</v>
      </c>
      <c r="D197" s="155" t="s">
        <v>473</v>
      </c>
      <c r="E197" s="78" t="s">
        <v>329</v>
      </c>
      <c r="F197" s="230">
        <f>15.39+3.49+2</f>
        <v>20.880000000000003</v>
      </c>
      <c r="G197" s="38">
        <v>19025</v>
      </c>
      <c r="H197" s="52">
        <f t="shared" si="19"/>
        <v>397242.00000000006</v>
      </c>
    </row>
    <row r="198" spans="2:8" x14ac:dyDescent="0.3">
      <c r="B198" s="260"/>
      <c r="C198" s="91" t="s">
        <v>661</v>
      </c>
      <c r="D198" s="155" t="s">
        <v>474</v>
      </c>
      <c r="E198" s="78" t="s">
        <v>329</v>
      </c>
      <c r="F198" s="230">
        <v>73.540000000000006</v>
      </c>
      <c r="G198" s="38">
        <v>18750</v>
      </c>
      <c r="H198" s="52">
        <f t="shared" si="19"/>
        <v>1378875.0000000002</v>
      </c>
    </row>
    <row r="199" spans="2:8" x14ac:dyDescent="0.3">
      <c r="B199" s="260"/>
      <c r="C199" s="91" t="s">
        <v>662</v>
      </c>
      <c r="D199" s="155" t="s">
        <v>475</v>
      </c>
      <c r="E199" s="78" t="s">
        <v>329</v>
      </c>
      <c r="F199" s="230">
        <v>39.5</v>
      </c>
      <c r="G199" s="38">
        <v>16250</v>
      </c>
      <c r="H199" s="52">
        <f t="shared" si="19"/>
        <v>641875</v>
      </c>
    </row>
    <row r="200" spans="2:8" x14ac:dyDescent="0.3">
      <c r="B200" s="260"/>
      <c r="C200" s="65" t="s">
        <v>263</v>
      </c>
      <c r="D200" s="156" t="s">
        <v>476</v>
      </c>
      <c r="E200" s="97"/>
      <c r="F200" s="67"/>
      <c r="G200" s="68"/>
      <c r="H200" s="89"/>
    </row>
    <row r="201" spans="2:8" x14ac:dyDescent="0.3">
      <c r="B201" s="260"/>
      <c r="C201" s="91" t="s">
        <v>264</v>
      </c>
      <c r="D201" s="155" t="s">
        <v>480</v>
      </c>
      <c r="E201" s="78" t="s">
        <v>163</v>
      </c>
      <c r="F201" s="46">
        <v>2</v>
      </c>
      <c r="G201" s="38">
        <v>38451</v>
      </c>
      <c r="H201" s="52">
        <f t="shared" ref="H201:H203" si="20">+F201*G201</f>
        <v>76902</v>
      </c>
    </row>
    <row r="202" spans="2:8" x14ac:dyDescent="0.3">
      <c r="B202" s="260"/>
      <c r="C202" s="91" t="s">
        <v>265</v>
      </c>
      <c r="D202" s="155" t="s">
        <v>479</v>
      </c>
      <c r="E202" s="78" t="s">
        <v>163</v>
      </c>
      <c r="F202" s="46">
        <v>2</v>
      </c>
      <c r="G202" s="38">
        <v>32858</v>
      </c>
      <c r="H202" s="52">
        <f t="shared" si="20"/>
        <v>65716</v>
      </c>
    </row>
    <row r="203" spans="2:8" x14ac:dyDescent="0.3">
      <c r="B203" s="260"/>
      <c r="C203" s="91" t="s">
        <v>471</v>
      </c>
      <c r="D203" s="155" t="s">
        <v>664</v>
      </c>
      <c r="E203" s="78" t="s">
        <v>163</v>
      </c>
      <c r="F203" s="46">
        <v>21</v>
      </c>
      <c r="G203" s="38">
        <v>26040</v>
      </c>
      <c r="H203" s="52">
        <f t="shared" si="20"/>
        <v>546840</v>
      </c>
    </row>
    <row r="204" spans="2:8" x14ac:dyDescent="0.3">
      <c r="B204" s="260"/>
      <c r="C204" s="65" t="s">
        <v>477</v>
      </c>
      <c r="D204" s="156" t="s">
        <v>204</v>
      </c>
      <c r="E204" s="97"/>
      <c r="F204" s="67"/>
      <c r="G204" s="68"/>
      <c r="H204" s="89"/>
    </row>
    <row r="205" spans="2:8" x14ac:dyDescent="0.3">
      <c r="B205" s="260"/>
      <c r="C205" s="91" t="s">
        <v>478</v>
      </c>
      <c r="D205" s="155" t="s">
        <v>484</v>
      </c>
      <c r="E205" s="78" t="s">
        <v>329</v>
      </c>
      <c r="F205" s="230">
        <v>48.87</v>
      </c>
      <c r="G205" s="38">
        <v>2684</v>
      </c>
      <c r="H205" s="52">
        <f t="shared" ref="H205:H208" si="21">+F205*G205</f>
        <v>131167.07999999999</v>
      </c>
    </row>
    <row r="206" spans="2:8" x14ac:dyDescent="0.3">
      <c r="B206" s="260"/>
      <c r="C206" s="91" t="s">
        <v>481</v>
      </c>
      <c r="D206" s="155" t="s">
        <v>485</v>
      </c>
      <c r="E206" s="78" t="s">
        <v>329</v>
      </c>
      <c r="F206" s="230">
        <f>15.39+3.49+2</f>
        <v>20.880000000000003</v>
      </c>
      <c r="G206" s="38">
        <v>2684</v>
      </c>
      <c r="H206" s="52">
        <f t="shared" si="21"/>
        <v>56041.920000000006</v>
      </c>
    </row>
    <row r="207" spans="2:8" x14ac:dyDescent="0.3">
      <c r="B207" s="260"/>
      <c r="C207" s="91" t="s">
        <v>482</v>
      </c>
      <c r="D207" s="155" t="s">
        <v>487</v>
      </c>
      <c r="E207" s="78" t="s">
        <v>329</v>
      </c>
      <c r="F207" s="230">
        <v>73.540000000000006</v>
      </c>
      <c r="G207" s="38">
        <v>2684</v>
      </c>
      <c r="H207" s="52">
        <f t="shared" si="21"/>
        <v>197381.36000000002</v>
      </c>
    </row>
    <row r="208" spans="2:8" x14ac:dyDescent="0.3">
      <c r="B208" s="260"/>
      <c r="C208" s="91" t="s">
        <v>483</v>
      </c>
      <c r="D208" s="155" t="s">
        <v>486</v>
      </c>
      <c r="E208" s="78" t="s">
        <v>329</v>
      </c>
      <c r="F208" s="230">
        <v>39.5</v>
      </c>
      <c r="G208" s="38">
        <v>2684</v>
      </c>
      <c r="H208" s="52">
        <f t="shared" si="21"/>
        <v>106018</v>
      </c>
    </row>
    <row r="209" spans="2:8" x14ac:dyDescent="0.3">
      <c r="B209" s="260"/>
      <c r="C209" s="61" t="s">
        <v>110</v>
      </c>
      <c r="D209" s="157" t="s">
        <v>489</v>
      </c>
      <c r="E209" s="79"/>
      <c r="F209" s="60"/>
      <c r="G209" s="56"/>
      <c r="H209" s="80"/>
    </row>
    <row r="210" spans="2:8" x14ac:dyDescent="0.3">
      <c r="B210" s="260"/>
      <c r="C210" s="65" t="s">
        <v>113</v>
      </c>
      <c r="D210" s="156" t="s">
        <v>198</v>
      </c>
      <c r="E210" s="97"/>
      <c r="F210" s="67"/>
      <c r="G210" s="68"/>
      <c r="H210" s="89"/>
    </row>
    <row r="211" spans="2:8" x14ac:dyDescent="0.3">
      <c r="B211" s="260"/>
      <c r="C211" s="91" t="s">
        <v>266</v>
      </c>
      <c r="D211" s="155" t="s">
        <v>196</v>
      </c>
      <c r="E211" s="78" t="s">
        <v>327</v>
      </c>
      <c r="F211" s="46">
        <f>44.5*0.5*0.3</f>
        <v>6.6749999999999998</v>
      </c>
      <c r="G211" s="38">
        <v>18900</v>
      </c>
      <c r="H211" s="52">
        <f t="shared" ref="H211:H213" si="22">+F211*G211</f>
        <v>126157.5</v>
      </c>
    </row>
    <row r="212" spans="2:8" x14ac:dyDescent="0.3">
      <c r="B212" s="260"/>
      <c r="C212" s="91" t="s">
        <v>267</v>
      </c>
      <c r="D212" s="155" t="s">
        <v>197</v>
      </c>
      <c r="E212" s="78" t="s">
        <v>327</v>
      </c>
      <c r="F212" s="46">
        <f>6.68*0.15</f>
        <v>1.002</v>
      </c>
      <c r="G212" s="38">
        <v>24580</v>
      </c>
      <c r="H212" s="52">
        <f t="shared" si="22"/>
        <v>24629.16</v>
      </c>
    </row>
    <row r="213" spans="2:8" x14ac:dyDescent="0.3">
      <c r="B213" s="260"/>
      <c r="C213" s="91" t="s">
        <v>268</v>
      </c>
      <c r="D213" s="155" t="s">
        <v>199</v>
      </c>
      <c r="E213" s="78" t="s">
        <v>327</v>
      </c>
      <c r="F213" s="46">
        <f>+F211-F212</f>
        <v>5.673</v>
      </c>
      <c r="G213" s="38">
        <v>29900</v>
      </c>
      <c r="H213" s="52">
        <f t="shared" si="22"/>
        <v>169622.7</v>
      </c>
    </row>
    <row r="214" spans="2:8" x14ac:dyDescent="0.3">
      <c r="B214" s="260"/>
      <c r="C214" s="65" t="s">
        <v>114</v>
      </c>
      <c r="D214" s="156" t="s">
        <v>205</v>
      </c>
      <c r="E214" s="97"/>
      <c r="F214" s="67"/>
      <c r="G214" s="68"/>
      <c r="H214" s="89"/>
    </row>
    <row r="215" spans="2:8" x14ac:dyDescent="0.3">
      <c r="B215" s="260"/>
      <c r="C215" s="91" t="s">
        <v>272</v>
      </c>
      <c r="D215" s="155" t="s">
        <v>464</v>
      </c>
      <c r="E215" s="96" t="s">
        <v>329</v>
      </c>
      <c r="F215" s="46">
        <v>34.5</v>
      </c>
      <c r="G215" s="38">
        <v>23925</v>
      </c>
      <c r="H215" s="52">
        <f t="shared" ref="H215:H216" si="23">+F215*G215</f>
        <v>825412.5</v>
      </c>
    </row>
    <row r="216" spans="2:8" x14ac:dyDescent="0.3">
      <c r="B216" s="260"/>
      <c r="C216" s="91" t="s">
        <v>488</v>
      </c>
      <c r="D216" s="155" t="s">
        <v>490</v>
      </c>
      <c r="E216" s="96" t="s">
        <v>329</v>
      </c>
      <c r="F216" s="46">
        <v>15.2</v>
      </c>
      <c r="G216" s="38">
        <v>20939</v>
      </c>
      <c r="H216" s="52">
        <f t="shared" si="23"/>
        <v>318272.8</v>
      </c>
    </row>
    <row r="217" spans="2:8" x14ac:dyDescent="0.3">
      <c r="B217" s="260"/>
      <c r="C217" s="65" t="s">
        <v>115</v>
      </c>
      <c r="D217" s="156" t="s">
        <v>206</v>
      </c>
      <c r="E217" s="97"/>
      <c r="F217" s="67"/>
      <c r="G217" s="68"/>
      <c r="H217" s="89"/>
    </row>
    <row r="218" spans="2:8" x14ac:dyDescent="0.3">
      <c r="B218" s="260"/>
      <c r="C218" s="91" t="s">
        <v>273</v>
      </c>
      <c r="D218" s="155" t="s">
        <v>207</v>
      </c>
      <c r="E218" s="78" t="s">
        <v>329</v>
      </c>
      <c r="F218" s="46">
        <f>+F215+F216</f>
        <v>49.7</v>
      </c>
      <c r="G218" s="38">
        <v>5354</v>
      </c>
      <c r="H218" s="52">
        <f t="shared" ref="H218" si="24">+F218*G218</f>
        <v>266093.8</v>
      </c>
    </row>
    <row r="219" spans="2:8" x14ac:dyDescent="0.3">
      <c r="B219" s="260"/>
      <c r="C219" s="65" t="s">
        <v>134</v>
      </c>
      <c r="D219" s="156" t="s">
        <v>42</v>
      </c>
      <c r="E219" s="97"/>
      <c r="F219" s="67"/>
      <c r="G219" s="68"/>
      <c r="H219" s="89"/>
    </row>
    <row r="220" spans="2:8" x14ac:dyDescent="0.3">
      <c r="B220" s="260"/>
      <c r="C220" s="91" t="s">
        <v>274</v>
      </c>
      <c r="D220" s="155" t="s">
        <v>465</v>
      </c>
      <c r="E220" s="78" t="s">
        <v>163</v>
      </c>
      <c r="F220" s="46">
        <v>2</v>
      </c>
      <c r="G220" s="38">
        <v>48750</v>
      </c>
      <c r="H220" s="52">
        <f t="shared" ref="H220:H221" si="25">+F220*G220</f>
        <v>97500</v>
      </c>
    </row>
    <row r="221" spans="2:8" x14ac:dyDescent="0.3">
      <c r="B221" s="260"/>
      <c r="C221" s="91" t="s">
        <v>750</v>
      </c>
      <c r="D221" s="155" t="s">
        <v>491</v>
      </c>
      <c r="E221" s="78" t="s">
        <v>163</v>
      </c>
      <c r="F221" s="46">
        <v>2</v>
      </c>
      <c r="G221" s="38">
        <v>38450</v>
      </c>
      <c r="H221" s="52">
        <f t="shared" si="25"/>
        <v>76900</v>
      </c>
    </row>
    <row r="222" spans="2:8" x14ac:dyDescent="0.3">
      <c r="B222" s="260"/>
      <c r="C222" s="65" t="s">
        <v>155</v>
      </c>
      <c r="D222" s="156" t="s">
        <v>208</v>
      </c>
      <c r="E222" s="97"/>
      <c r="F222" s="67"/>
      <c r="G222" s="68"/>
      <c r="H222" s="89"/>
    </row>
    <row r="223" spans="2:8" x14ac:dyDescent="0.3">
      <c r="B223" s="260"/>
      <c r="C223" s="91" t="s">
        <v>275</v>
      </c>
      <c r="D223" s="155" t="s">
        <v>209</v>
      </c>
      <c r="E223" s="78" t="s">
        <v>177</v>
      </c>
      <c r="F223" s="46">
        <v>1</v>
      </c>
      <c r="G223" s="38">
        <v>298754</v>
      </c>
      <c r="H223" s="52">
        <f t="shared" ref="H223:H224" si="26">+F223*G223</f>
        <v>298754</v>
      </c>
    </row>
    <row r="224" spans="2:8" x14ac:dyDescent="0.3">
      <c r="B224" s="260"/>
      <c r="C224" s="91" t="s">
        <v>751</v>
      </c>
      <c r="D224" s="155" t="s">
        <v>492</v>
      </c>
      <c r="E224" s="78" t="s">
        <v>177</v>
      </c>
      <c r="F224" s="46">
        <v>1</v>
      </c>
      <c r="G224" s="38">
        <v>347560</v>
      </c>
      <c r="H224" s="52">
        <f t="shared" si="26"/>
        <v>347560</v>
      </c>
    </row>
    <row r="225" spans="2:8" x14ac:dyDescent="0.3">
      <c r="B225" s="260"/>
      <c r="C225" s="65" t="s">
        <v>276</v>
      </c>
      <c r="D225" s="156" t="s">
        <v>494</v>
      </c>
      <c r="E225" s="97"/>
      <c r="F225" s="67"/>
      <c r="G225" s="68"/>
      <c r="H225" s="89"/>
    </row>
    <row r="226" spans="2:8" x14ac:dyDescent="0.3">
      <c r="B226" s="260"/>
      <c r="C226" s="91" t="s">
        <v>277</v>
      </c>
      <c r="D226" s="155" t="s">
        <v>210</v>
      </c>
      <c r="E226" s="78" t="s">
        <v>177</v>
      </c>
      <c r="F226" s="46">
        <v>1</v>
      </c>
      <c r="G226" s="38">
        <v>54780</v>
      </c>
      <c r="H226" s="52">
        <f t="shared" ref="H226:H227" si="27">+F226*G226</f>
        <v>54780</v>
      </c>
    </row>
    <row r="227" spans="2:8" x14ac:dyDescent="0.3">
      <c r="B227" s="260"/>
      <c r="C227" s="91" t="s">
        <v>278</v>
      </c>
      <c r="D227" s="155" t="s">
        <v>634</v>
      </c>
      <c r="E227" s="78" t="s">
        <v>163</v>
      </c>
      <c r="F227" s="46">
        <v>1</v>
      </c>
      <c r="G227" s="38">
        <v>368400</v>
      </c>
      <c r="H227" s="52">
        <f t="shared" si="27"/>
        <v>368400</v>
      </c>
    </row>
    <row r="228" spans="2:8" x14ac:dyDescent="0.3">
      <c r="B228" s="260"/>
      <c r="C228" s="65" t="s">
        <v>752</v>
      </c>
      <c r="D228" s="156" t="s">
        <v>495</v>
      </c>
      <c r="E228" s="97"/>
      <c r="F228" s="67"/>
      <c r="G228" s="68"/>
      <c r="H228" s="89"/>
    </row>
    <row r="229" spans="2:8" x14ac:dyDescent="0.3">
      <c r="B229" s="260"/>
      <c r="C229" s="91" t="s">
        <v>753</v>
      </c>
      <c r="D229" s="158" t="s">
        <v>493</v>
      </c>
      <c r="E229" s="78" t="s">
        <v>163</v>
      </c>
      <c r="F229" s="46">
        <v>1</v>
      </c>
      <c r="G229" s="38">
        <v>2493480</v>
      </c>
      <c r="H229" s="52">
        <f t="shared" ref="H229" si="28">+F229*G229</f>
        <v>2493480</v>
      </c>
    </row>
    <row r="230" spans="2:8" x14ac:dyDescent="0.3">
      <c r="B230" s="260"/>
      <c r="C230" s="65" t="s">
        <v>754</v>
      </c>
      <c r="D230" s="156" t="s">
        <v>496</v>
      </c>
      <c r="E230" s="97"/>
      <c r="F230" s="67"/>
      <c r="G230" s="68"/>
      <c r="H230" s="89"/>
    </row>
    <row r="231" spans="2:8" x14ac:dyDescent="0.3">
      <c r="B231" s="260"/>
      <c r="C231" s="91" t="s">
        <v>755</v>
      </c>
      <c r="D231" s="158" t="s">
        <v>497</v>
      </c>
      <c r="E231" s="78" t="s">
        <v>163</v>
      </c>
      <c r="F231" s="46">
        <v>1</v>
      </c>
      <c r="G231" s="38">
        <v>387540</v>
      </c>
      <c r="H231" s="52">
        <f t="shared" ref="H231" si="29">+F231*G231</f>
        <v>387540</v>
      </c>
    </row>
    <row r="232" spans="2:8" x14ac:dyDescent="0.3">
      <c r="B232" s="260"/>
      <c r="C232" s="61" t="s">
        <v>116</v>
      </c>
      <c r="D232" s="157" t="s">
        <v>211</v>
      </c>
      <c r="E232" s="79"/>
      <c r="F232" s="60"/>
      <c r="G232" s="56"/>
      <c r="H232" s="80"/>
    </row>
    <row r="233" spans="2:8" x14ac:dyDescent="0.3">
      <c r="B233" s="260"/>
      <c r="C233" s="65" t="s">
        <v>119</v>
      </c>
      <c r="D233" s="156" t="s">
        <v>198</v>
      </c>
      <c r="E233" s="97"/>
      <c r="F233" s="67"/>
      <c r="G233" s="68"/>
      <c r="H233" s="89"/>
    </row>
    <row r="234" spans="2:8" x14ac:dyDescent="0.3">
      <c r="B234" s="260"/>
      <c r="C234" s="91" t="s">
        <v>269</v>
      </c>
      <c r="D234" s="155" t="s">
        <v>196</v>
      </c>
      <c r="E234" s="78" t="s">
        <v>327</v>
      </c>
      <c r="F234" s="46">
        <f>+(F238+F239+F240)*0.5*0.3</f>
        <v>11.773499999999999</v>
      </c>
      <c r="G234" s="38">
        <v>18900</v>
      </c>
      <c r="H234" s="52">
        <f t="shared" ref="H234:H236" si="30">+F234*G234</f>
        <v>222519.14999999997</v>
      </c>
    </row>
    <row r="235" spans="2:8" x14ac:dyDescent="0.3">
      <c r="B235" s="260"/>
      <c r="C235" s="91" t="s">
        <v>279</v>
      </c>
      <c r="D235" s="155" t="s">
        <v>197</v>
      </c>
      <c r="E235" s="78" t="s">
        <v>327</v>
      </c>
      <c r="F235" s="46">
        <f>11.7*0.2</f>
        <v>2.34</v>
      </c>
      <c r="G235" s="38">
        <v>24580</v>
      </c>
      <c r="H235" s="52">
        <f t="shared" si="30"/>
        <v>57517.2</v>
      </c>
    </row>
    <row r="236" spans="2:8" x14ac:dyDescent="0.3">
      <c r="B236" s="260"/>
      <c r="C236" s="91" t="s">
        <v>280</v>
      </c>
      <c r="D236" s="155" t="s">
        <v>199</v>
      </c>
      <c r="E236" s="78" t="s">
        <v>327</v>
      </c>
      <c r="F236" s="46">
        <f>+F234-F235</f>
        <v>9.4334999999999987</v>
      </c>
      <c r="G236" s="38">
        <v>29900</v>
      </c>
      <c r="H236" s="52">
        <f t="shared" si="30"/>
        <v>282061.64999999997</v>
      </c>
    </row>
    <row r="237" spans="2:8" x14ac:dyDescent="0.3">
      <c r="B237" s="260"/>
      <c r="C237" s="65" t="s">
        <v>120</v>
      </c>
      <c r="D237" s="156" t="s">
        <v>212</v>
      </c>
      <c r="E237" s="97"/>
      <c r="F237" s="67"/>
      <c r="G237" s="68"/>
      <c r="H237" s="89"/>
    </row>
    <row r="238" spans="2:8" x14ac:dyDescent="0.3">
      <c r="B238" s="260"/>
      <c r="C238" s="91" t="s">
        <v>281</v>
      </c>
      <c r="D238" s="155" t="s">
        <v>466</v>
      </c>
      <c r="E238" s="96" t="s">
        <v>329</v>
      </c>
      <c r="F238" s="46">
        <v>18.649999999999999</v>
      </c>
      <c r="G238" s="38">
        <v>14817</v>
      </c>
      <c r="H238" s="52">
        <f t="shared" ref="H238:H241" si="31">+F238*G238</f>
        <v>276337.05</v>
      </c>
    </row>
    <row r="239" spans="2:8" x14ac:dyDescent="0.3">
      <c r="B239" s="260"/>
      <c r="C239" s="91" t="s">
        <v>282</v>
      </c>
      <c r="D239" s="155" t="s">
        <v>467</v>
      </c>
      <c r="E239" s="96" t="s">
        <v>329</v>
      </c>
      <c r="F239" s="46">
        <v>45.23</v>
      </c>
      <c r="G239" s="38">
        <v>12826</v>
      </c>
      <c r="H239" s="52">
        <f t="shared" si="31"/>
        <v>580119.98</v>
      </c>
    </row>
    <row r="240" spans="2:8" x14ac:dyDescent="0.3">
      <c r="B240" s="260"/>
      <c r="C240" s="91" t="s">
        <v>756</v>
      </c>
      <c r="D240" s="155" t="s">
        <v>498</v>
      </c>
      <c r="E240" s="96" t="s">
        <v>329</v>
      </c>
      <c r="F240" s="46">
        <v>14.61</v>
      </c>
      <c r="G240" s="38">
        <v>11953</v>
      </c>
      <c r="H240" s="52">
        <f t="shared" si="31"/>
        <v>174633.33</v>
      </c>
    </row>
    <row r="241" spans="2:8" x14ac:dyDescent="0.3">
      <c r="B241" s="260"/>
      <c r="C241" s="91" t="s">
        <v>757</v>
      </c>
      <c r="D241" s="155" t="s">
        <v>468</v>
      </c>
      <c r="E241" s="96" t="s">
        <v>329</v>
      </c>
      <c r="F241" s="46">
        <v>12.5</v>
      </c>
      <c r="G241" s="38">
        <v>11813</v>
      </c>
      <c r="H241" s="52">
        <f t="shared" si="31"/>
        <v>147662.5</v>
      </c>
    </row>
    <row r="242" spans="2:8" x14ac:dyDescent="0.3">
      <c r="B242" s="260"/>
      <c r="C242" s="65" t="s">
        <v>283</v>
      </c>
      <c r="D242" s="156" t="s">
        <v>213</v>
      </c>
      <c r="E242" s="97"/>
      <c r="F242" s="67"/>
      <c r="G242" s="68"/>
      <c r="H242" s="89"/>
    </row>
    <row r="243" spans="2:8" x14ac:dyDescent="0.3">
      <c r="B243" s="260"/>
      <c r="C243" s="91" t="s">
        <v>284</v>
      </c>
      <c r="D243" s="155" t="s">
        <v>214</v>
      </c>
      <c r="E243" s="78" t="s">
        <v>163</v>
      </c>
      <c r="F243" s="46">
        <v>6</v>
      </c>
      <c r="G243" s="38">
        <v>30530</v>
      </c>
      <c r="H243" s="52">
        <f t="shared" ref="H243:H244" si="32">+F243*G243</f>
        <v>183180</v>
      </c>
    </row>
    <row r="244" spans="2:8" x14ac:dyDescent="0.3">
      <c r="B244" s="260"/>
      <c r="C244" s="91" t="s">
        <v>758</v>
      </c>
      <c r="D244" s="155" t="s">
        <v>499</v>
      </c>
      <c r="E244" s="78" t="s">
        <v>177</v>
      </c>
      <c r="F244" s="46">
        <v>4</v>
      </c>
      <c r="G244" s="38">
        <v>284000</v>
      </c>
      <c r="H244" s="52">
        <f t="shared" si="32"/>
        <v>1136000</v>
      </c>
    </row>
    <row r="245" spans="2:8" x14ac:dyDescent="0.3">
      <c r="B245" s="260"/>
      <c r="C245" s="65" t="s">
        <v>285</v>
      </c>
      <c r="D245" s="156" t="s">
        <v>215</v>
      </c>
      <c r="E245" s="97"/>
      <c r="F245" s="67"/>
      <c r="G245" s="68"/>
      <c r="H245" s="89"/>
    </row>
    <row r="246" spans="2:8" x14ac:dyDescent="0.3">
      <c r="B246" s="260"/>
      <c r="C246" s="172" t="s">
        <v>286</v>
      </c>
      <c r="D246" s="159" t="s">
        <v>216</v>
      </c>
      <c r="E246" s="270" t="s">
        <v>355</v>
      </c>
      <c r="F246" s="271"/>
      <c r="G246" s="271"/>
      <c r="H246" s="272"/>
    </row>
    <row r="247" spans="2:8" x14ac:dyDescent="0.3">
      <c r="B247" s="260"/>
      <c r="C247" s="172" t="s">
        <v>287</v>
      </c>
      <c r="D247" s="159" t="s">
        <v>217</v>
      </c>
      <c r="E247" s="270" t="s">
        <v>355</v>
      </c>
      <c r="F247" s="271"/>
      <c r="G247" s="271"/>
      <c r="H247" s="272"/>
    </row>
    <row r="248" spans="2:8" x14ac:dyDescent="0.3">
      <c r="B248" s="260"/>
      <c r="C248" s="172" t="s">
        <v>759</v>
      </c>
      <c r="D248" s="159" t="s">
        <v>218</v>
      </c>
      <c r="E248" s="270" t="s">
        <v>355</v>
      </c>
      <c r="F248" s="271"/>
      <c r="G248" s="271"/>
      <c r="H248" s="272"/>
    </row>
    <row r="249" spans="2:8" x14ac:dyDescent="0.3">
      <c r="B249" s="260"/>
      <c r="C249" s="172" t="s">
        <v>760</v>
      </c>
      <c r="D249" s="159" t="s">
        <v>219</v>
      </c>
      <c r="E249" s="270" t="s">
        <v>355</v>
      </c>
      <c r="F249" s="271"/>
      <c r="G249" s="271"/>
      <c r="H249" s="272"/>
    </row>
    <row r="250" spans="2:8" x14ac:dyDescent="0.3">
      <c r="B250" s="260"/>
      <c r="C250" s="65" t="s">
        <v>288</v>
      </c>
      <c r="D250" s="156" t="s">
        <v>492</v>
      </c>
      <c r="E250" s="97"/>
      <c r="F250" s="67"/>
      <c r="G250" s="68"/>
      <c r="H250" s="89"/>
    </row>
    <row r="251" spans="2:8" x14ac:dyDescent="0.3">
      <c r="B251" s="260"/>
      <c r="C251" s="91" t="s">
        <v>289</v>
      </c>
      <c r="D251" s="155" t="s">
        <v>504</v>
      </c>
      <c r="E251" s="78" t="s">
        <v>163</v>
      </c>
      <c r="F251" s="46">
        <v>5</v>
      </c>
      <c r="G251" s="38">
        <v>38450</v>
      </c>
      <c r="H251" s="52">
        <f t="shared" ref="H251" si="33">+F251*G251</f>
        <v>192250</v>
      </c>
    </row>
    <row r="252" spans="2:8" x14ac:dyDescent="0.3">
      <c r="B252" s="260"/>
      <c r="C252" s="65" t="s">
        <v>290</v>
      </c>
      <c r="D252" s="156" t="s">
        <v>496</v>
      </c>
      <c r="E252" s="97"/>
      <c r="F252" s="67"/>
      <c r="G252" s="68"/>
      <c r="H252" s="89"/>
    </row>
    <row r="253" spans="2:8" x14ac:dyDescent="0.3">
      <c r="B253" s="260"/>
      <c r="C253" s="91" t="s">
        <v>291</v>
      </c>
      <c r="D253" s="155" t="s">
        <v>501</v>
      </c>
      <c r="E253" s="78" t="s">
        <v>177</v>
      </c>
      <c r="F253" s="46">
        <v>1</v>
      </c>
      <c r="G253" s="38">
        <v>546500</v>
      </c>
      <c r="H253" s="52">
        <f t="shared" ref="H253" si="34">+F253*G253</f>
        <v>546500</v>
      </c>
    </row>
    <row r="254" spans="2:8" x14ac:dyDescent="0.3">
      <c r="B254" s="260"/>
      <c r="C254" s="135" t="s">
        <v>292</v>
      </c>
      <c r="D254" s="160" t="s">
        <v>125</v>
      </c>
      <c r="E254" s="79"/>
      <c r="F254" s="60"/>
      <c r="G254" s="56"/>
      <c r="H254" s="80"/>
    </row>
    <row r="255" spans="2:8" x14ac:dyDescent="0.3">
      <c r="B255" s="260"/>
      <c r="C255" s="65" t="s">
        <v>293</v>
      </c>
      <c r="D255" s="153" t="s">
        <v>507</v>
      </c>
      <c r="E255" s="97"/>
      <c r="F255" s="67"/>
      <c r="G255" s="68"/>
      <c r="H255" s="89"/>
    </row>
    <row r="256" spans="2:8" x14ac:dyDescent="0.3">
      <c r="B256" s="260"/>
      <c r="C256" s="91" t="s">
        <v>761</v>
      </c>
      <c r="D256" s="154" t="s">
        <v>508</v>
      </c>
      <c r="E256" s="78" t="s">
        <v>163</v>
      </c>
      <c r="F256" s="46">
        <v>1</v>
      </c>
      <c r="G256" s="38">
        <v>2346840</v>
      </c>
      <c r="H256" s="52">
        <f t="shared" ref="H256:H264" si="35">+F256*G256</f>
        <v>2346840</v>
      </c>
    </row>
    <row r="257" spans="2:8" x14ac:dyDescent="0.3">
      <c r="B257" s="260"/>
      <c r="C257" s="65" t="s">
        <v>762</v>
      </c>
      <c r="D257" s="161" t="s">
        <v>123</v>
      </c>
      <c r="E257" s="97"/>
      <c r="F257" s="67"/>
      <c r="G257" s="68"/>
      <c r="H257" s="89"/>
    </row>
    <row r="258" spans="2:8" x14ac:dyDescent="0.3">
      <c r="B258" s="260"/>
      <c r="C258" s="91" t="s">
        <v>763</v>
      </c>
      <c r="D258" s="162" t="s">
        <v>509</v>
      </c>
      <c r="E258" s="78" t="s">
        <v>163</v>
      </c>
      <c r="F258" s="46">
        <v>1</v>
      </c>
      <c r="G258" s="38">
        <v>125400</v>
      </c>
      <c r="H258" s="52">
        <f>+G258*F258</f>
        <v>125400</v>
      </c>
    </row>
    <row r="259" spans="2:8" x14ac:dyDescent="0.3">
      <c r="B259" s="260"/>
      <c r="C259" s="91" t="s">
        <v>764</v>
      </c>
      <c r="D259" s="162" t="s">
        <v>510</v>
      </c>
      <c r="E259" s="78" t="s">
        <v>163</v>
      </c>
      <c r="F259" s="46">
        <v>1</v>
      </c>
      <c r="G259" s="38">
        <v>25470</v>
      </c>
      <c r="H259" s="52">
        <f>+G259*F259</f>
        <v>25470</v>
      </c>
    </row>
    <row r="260" spans="2:8" x14ac:dyDescent="0.3">
      <c r="B260" s="260"/>
      <c r="C260" s="65" t="s">
        <v>765</v>
      </c>
      <c r="D260" s="163" t="s">
        <v>511</v>
      </c>
      <c r="E260" s="134"/>
      <c r="F260" s="114"/>
      <c r="G260" s="115"/>
      <c r="H260" s="116"/>
    </row>
    <row r="261" spans="2:8" x14ac:dyDescent="0.3">
      <c r="B261" s="260"/>
      <c r="C261" s="91" t="s">
        <v>766</v>
      </c>
      <c r="D261" s="164" t="s">
        <v>122</v>
      </c>
      <c r="E261" s="78" t="s">
        <v>163</v>
      </c>
      <c r="F261" s="46">
        <v>4</v>
      </c>
      <c r="G261" s="38">
        <v>176540</v>
      </c>
      <c r="H261" s="52">
        <f t="shared" si="35"/>
        <v>706160</v>
      </c>
    </row>
    <row r="262" spans="2:8" x14ac:dyDescent="0.3">
      <c r="B262" s="260"/>
      <c r="C262" s="91" t="s">
        <v>767</v>
      </c>
      <c r="D262" s="164" t="s">
        <v>536</v>
      </c>
      <c r="E262" s="78" t="s">
        <v>163</v>
      </c>
      <c r="F262" s="46">
        <v>3</v>
      </c>
      <c r="G262" s="38">
        <v>201500</v>
      </c>
      <c r="H262" s="52">
        <f t="shared" si="35"/>
        <v>604500</v>
      </c>
    </row>
    <row r="263" spans="2:8" x14ac:dyDescent="0.3">
      <c r="B263" s="260"/>
      <c r="C263" s="91" t="s">
        <v>768</v>
      </c>
      <c r="D263" s="164" t="s">
        <v>537</v>
      </c>
      <c r="E263" s="78" t="s">
        <v>163</v>
      </c>
      <c r="F263" s="46">
        <v>2</v>
      </c>
      <c r="G263" s="38">
        <v>205600</v>
      </c>
      <c r="H263" s="52">
        <f t="shared" si="35"/>
        <v>411200</v>
      </c>
    </row>
    <row r="264" spans="2:8" x14ac:dyDescent="0.3">
      <c r="B264" s="260"/>
      <c r="C264" s="91" t="s">
        <v>769</v>
      </c>
      <c r="D264" s="164" t="s">
        <v>538</v>
      </c>
      <c r="E264" s="78" t="s">
        <v>163</v>
      </c>
      <c r="F264" s="46">
        <v>3</v>
      </c>
      <c r="G264" s="38">
        <v>205600</v>
      </c>
      <c r="H264" s="52">
        <f t="shared" si="35"/>
        <v>616800</v>
      </c>
    </row>
    <row r="265" spans="2:8" x14ac:dyDescent="0.3">
      <c r="B265" s="260"/>
      <c r="C265" s="65" t="s">
        <v>770</v>
      </c>
      <c r="D265" s="153" t="s">
        <v>524</v>
      </c>
      <c r="E265" s="97"/>
      <c r="F265" s="67"/>
      <c r="G265" s="68"/>
      <c r="H265" s="89"/>
    </row>
    <row r="266" spans="2:8" x14ac:dyDescent="0.3">
      <c r="B266" s="260"/>
      <c r="C266" s="91" t="s">
        <v>771</v>
      </c>
      <c r="D266" s="164" t="s">
        <v>539</v>
      </c>
      <c r="E266" s="78" t="s">
        <v>163</v>
      </c>
      <c r="F266" s="46">
        <v>10</v>
      </c>
      <c r="G266" s="38">
        <v>156540</v>
      </c>
      <c r="H266" s="52">
        <f t="shared" ref="H266:H267" si="36">+F266*G266</f>
        <v>1565400</v>
      </c>
    </row>
    <row r="267" spans="2:8" x14ac:dyDescent="0.3">
      <c r="B267" s="260"/>
      <c r="C267" s="91" t="s">
        <v>772</v>
      </c>
      <c r="D267" s="164" t="s">
        <v>540</v>
      </c>
      <c r="E267" s="78" t="s">
        <v>163</v>
      </c>
      <c r="F267" s="46">
        <v>10</v>
      </c>
      <c r="G267" s="38">
        <v>206540</v>
      </c>
      <c r="H267" s="52">
        <f t="shared" si="36"/>
        <v>2065400</v>
      </c>
    </row>
    <row r="268" spans="2:8" x14ac:dyDescent="0.3">
      <c r="B268" s="260"/>
      <c r="C268" s="65" t="s">
        <v>773</v>
      </c>
      <c r="D268" s="161" t="s">
        <v>512</v>
      </c>
      <c r="E268" s="97"/>
      <c r="F268" s="67"/>
      <c r="G268" s="68"/>
      <c r="H268" s="89"/>
    </row>
    <row r="269" spans="2:8" x14ac:dyDescent="0.3">
      <c r="B269" s="260"/>
      <c r="C269" s="91" t="s">
        <v>774</v>
      </c>
      <c r="D269" s="164" t="s">
        <v>513</v>
      </c>
      <c r="E269" s="78" t="s">
        <v>163</v>
      </c>
      <c r="F269" s="46">
        <v>2</v>
      </c>
      <c r="G269" s="38">
        <v>205600</v>
      </c>
      <c r="H269" s="52">
        <f t="shared" ref="H269:H270" si="37">+F269*G269</f>
        <v>411200</v>
      </c>
    </row>
    <row r="270" spans="2:8" x14ac:dyDescent="0.3">
      <c r="B270" s="260"/>
      <c r="C270" s="91" t="s">
        <v>775</v>
      </c>
      <c r="D270" s="164" t="s">
        <v>514</v>
      </c>
      <c r="E270" s="78" t="s">
        <v>163</v>
      </c>
      <c r="F270" s="46">
        <v>2</v>
      </c>
      <c r="G270" s="38">
        <v>205600</v>
      </c>
      <c r="H270" s="52">
        <f t="shared" si="37"/>
        <v>411200</v>
      </c>
    </row>
    <row r="271" spans="2:8" x14ac:dyDescent="0.3">
      <c r="B271" s="260"/>
      <c r="C271" s="65" t="s">
        <v>776</v>
      </c>
      <c r="D271" s="161" t="s">
        <v>515</v>
      </c>
      <c r="E271" s="97"/>
      <c r="F271" s="67"/>
      <c r="G271" s="68"/>
      <c r="H271" s="89"/>
    </row>
    <row r="272" spans="2:8" x14ac:dyDescent="0.3">
      <c r="B272" s="260"/>
      <c r="C272" s="91" t="s">
        <v>777</v>
      </c>
      <c r="D272" s="162" t="s">
        <v>516</v>
      </c>
      <c r="E272" s="78" t="s">
        <v>163</v>
      </c>
      <c r="F272" s="46">
        <f>+F266+F262+F261</f>
        <v>17</v>
      </c>
      <c r="G272" s="38">
        <v>45460</v>
      </c>
      <c r="H272" s="52">
        <f t="shared" ref="H272:H280" si="38">+G272*F272</f>
        <v>772820</v>
      </c>
    </row>
    <row r="273" spans="2:8" x14ac:dyDescent="0.3">
      <c r="B273" s="260"/>
      <c r="C273" s="91" t="s">
        <v>778</v>
      </c>
      <c r="D273" s="162" t="s">
        <v>527</v>
      </c>
      <c r="E273" s="78" t="s">
        <v>163</v>
      </c>
      <c r="F273" s="46">
        <v>10</v>
      </c>
      <c r="G273" s="38">
        <v>40461</v>
      </c>
      <c r="H273" s="52">
        <f t="shared" si="38"/>
        <v>404610</v>
      </c>
    </row>
    <row r="274" spans="2:8" x14ac:dyDescent="0.3">
      <c r="B274" s="260"/>
      <c r="C274" s="91" t="s">
        <v>779</v>
      </c>
      <c r="D274" s="162" t="s">
        <v>517</v>
      </c>
      <c r="E274" s="78" t="s">
        <v>163</v>
      </c>
      <c r="F274" s="46">
        <v>17</v>
      </c>
      <c r="G274" s="38">
        <v>4300</v>
      </c>
      <c r="H274" s="52">
        <f t="shared" si="38"/>
        <v>73100</v>
      </c>
    </row>
    <row r="275" spans="2:8" x14ac:dyDescent="0.3">
      <c r="B275" s="260"/>
      <c r="C275" s="91" t="s">
        <v>780</v>
      </c>
      <c r="D275" s="162" t="s">
        <v>528</v>
      </c>
      <c r="E275" s="78" t="s">
        <v>163</v>
      </c>
      <c r="F275" s="46">
        <f>+F266</f>
        <v>10</v>
      </c>
      <c r="G275" s="38">
        <v>4301</v>
      </c>
      <c r="H275" s="52">
        <f t="shared" si="38"/>
        <v>43010</v>
      </c>
    </row>
    <row r="276" spans="2:8" x14ac:dyDescent="0.3">
      <c r="B276" s="260"/>
      <c r="C276" s="91" t="s">
        <v>781</v>
      </c>
      <c r="D276" s="162" t="s">
        <v>518</v>
      </c>
      <c r="E276" s="78" t="s">
        <v>163</v>
      </c>
      <c r="F276" s="46">
        <f>+F263+F264</f>
        <v>5</v>
      </c>
      <c r="G276" s="38">
        <v>8960</v>
      </c>
      <c r="H276" s="52">
        <f t="shared" si="38"/>
        <v>44800</v>
      </c>
    </row>
    <row r="277" spans="2:8" x14ac:dyDescent="0.3">
      <c r="B277" s="260"/>
      <c r="C277" s="91" t="s">
        <v>782</v>
      </c>
      <c r="D277" s="162" t="s">
        <v>526</v>
      </c>
      <c r="E277" s="78" t="s">
        <v>163</v>
      </c>
      <c r="F277" s="46">
        <f>+F261+F262+F266</f>
        <v>17</v>
      </c>
      <c r="G277" s="38">
        <v>8960</v>
      </c>
      <c r="H277" s="52">
        <f t="shared" si="38"/>
        <v>152320</v>
      </c>
    </row>
    <row r="278" spans="2:8" x14ac:dyDescent="0.3">
      <c r="B278" s="260"/>
      <c r="C278" s="91" t="s">
        <v>783</v>
      </c>
      <c r="D278" s="162" t="s">
        <v>529</v>
      </c>
      <c r="E278" s="78" t="s">
        <v>163</v>
      </c>
      <c r="F278" s="46">
        <v>10</v>
      </c>
      <c r="G278" s="38">
        <v>8961</v>
      </c>
      <c r="H278" s="52">
        <f t="shared" si="38"/>
        <v>89610</v>
      </c>
    </row>
    <row r="279" spans="2:8" x14ac:dyDescent="0.3">
      <c r="B279" s="260"/>
      <c r="C279" s="91" t="s">
        <v>784</v>
      </c>
      <c r="D279" s="164" t="s">
        <v>519</v>
      </c>
      <c r="E279" s="78" t="s">
        <v>163</v>
      </c>
      <c r="F279" s="46">
        <v>2</v>
      </c>
      <c r="G279" s="38">
        <v>139900</v>
      </c>
      <c r="H279" s="52">
        <f t="shared" si="38"/>
        <v>279800</v>
      </c>
    </row>
    <row r="280" spans="2:8" x14ac:dyDescent="0.3">
      <c r="B280" s="260"/>
      <c r="C280" s="91" t="s">
        <v>785</v>
      </c>
      <c r="D280" s="162" t="s">
        <v>530</v>
      </c>
      <c r="E280" s="78" t="s">
        <v>163</v>
      </c>
      <c r="F280" s="46">
        <v>2</v>
      </c>
      <c r="G280" s="38">
        <v>25960</v>
      </c>
      <c r="H280" s="52">
        <f t="shared" si="38"/>
        <v>51920</v>
      </c>
    </row>
    <row r="281" spans="2:8" x14ac:dyDescent="0.3">
      <c r="B281" s="260"/>
      <c r="C281" s="91" t="s">
        <v>786</v>
      </c>
      <c r="D281" s="162" t="s">
        <v>632</v>
      </c>
      <c r="E281" s="78" t="s">
        <v>163</v>
      </c>
      <c r="F281" s="46">
        <v>3</v>
      </c>
      <c r="G281" s="38">
        <v>45620</v>
      </c>
      <c r="H281" s="52">
        <f t="shared" ref="H281" si="39">+F281*G281</f>
        <v>136860</v>
      </c>
    </row>
    <row r="282" spans="2:8" x14ac:dyDescent="0.3">
      <c r="B282" s="260"/>
      <c r="C282" s="65" t="s">
        <v>787</v>
      </c>
      <c r="D282" s="161" t="s">
        <v>124</v>
      </c>
      <c r="E282" s="97"/>
      <c r="F282" s="67"/>
      <c r="G282" s="68"/>
      <c r="H282" s="89"/>
    </row>
    <row r="283" spans="2:8" x14ac:dyDescent="0.3">
      <c r="B283" s="260"/>
      <c r="C283" s="91" t="s">
        <v>788</v>
      </c>
      <c r="D283" s="164" t="s">
        <v>533</v>
      </c>
      <c r="E283" s="78" t="s">
        <v>163</v>
      </c>
      <c r="F283" s="46">
        <v>5</v>
      </c>
      <c r="G283" s="38">
        <v>35300</v>
      </c>
      <c r="H283" s="52">
        <f>+G283*F283</f>
        <v>176500</v>
      </c>
    </row>
    <row r="284" spans="2:8" x14ac:dyDescent="0.3">
      <c r="B284" s="260"/>
      <c r="C284" s="91" t="s">
        <v>789</v>
      </c>
      <c r="D284" s="164" t="s">
        <v>532</v>
      </c>
      <c r="E284" s="78" t="s">
        <v>163</v>
      </c>
      <c r="F284" s="46">
        <v>3</v>
      </c>
      <c r="G284" s="38">
        <v>145658</v>
      </c>
      <c r="H284" s="52">
        <f>+G284*F284</f>
        <v>436974</v>
      </c>
    </row>
    <row r="285" spans="2:8" x14ac:dyDescent="0.3">
      <c r="B285" s="260"/>
      <c r="C285" s="91" t="s">
        <v>790</v>
      </c>
      <c r="D285" s="164" t="s">
        <v>534</v>
      </c>
      <c r="E285" s="78" t="s">
        <v>163</v>
      </c>
      <c r="F285" s="46">
        <v>3</v>
      </c>
      <c r="G285" s="38">
        <v>210000</v>
      </c>
      <c r="H285" s="52">
        <f>+G285*F285</f>
        <v>630000</v>
      </c>
    </row>
    <row r="286" spans="2:8" x14ac:dyDescent="0.3">
      <c r="B286" s="260"/>
      <c r="C286" s="91" t="s">
        <v>791</v>
      </c>
      <c r="D286" s="165" t="s">
        <v>535</v>
      </c>
      <c r="E286" s="78" t="s">
        <v>163</v>
      </c>
      <c r="F286" s="46">
        <v>3</v>
      </c>
      <c r="G286" s="38">
        <v>198000</v>
      </c>
      <c r="H286" s="52">
        <f>+G286*F286</f>
        <v>594000</v>
      </c>
    </row>
    <row r="287" spans="2:8" x14ac:dyDescent="0.3">
      <c r="B287" s="260"/>
      <c r="C287" s="91" t="s">
        <v>792</v>
      </c>
      <c r="D287" s="165" t="s">
        <v>531</v>
      </c>
      <c r="E287" s="78" t="s">
        <v>163</v>
      </c>
      <c r="F287" s="46">
        <v>1</v>
      </c>
      <c r="G287" s="38">
        <v>51240</v>
      </c>
      <c r="H287" s="52">
        <f>+G287*F287</f>
        <v>51240</v>
      </c>
    </row>
    <row r="288" spans="2:8" x14ac:dyDescent="0.3">
      <c r="B288" s="260"/>
      <c r="C288" s="65" t="s">
        <v>793</v>
      </c>
      <c r="D288" s="161" t="s">
        <v>191</v>
      </c>
      <c r="E288" s="97"/>
      <c r="F288" s="67"/>
      <c r="G288" s="68"/>
      <c r="H288" s="89"/>
    </row>
    <row r="289" spans="2:8" x14ac:dyDescent="0.3">
      <c r="B289" s="260"/>
      <c r="C289" s="91" t="s">
        <v>525</v>
      </c>
      <c r="D289" s="164" t="s">
        <v>672</v>
      </c>
      <c r="E289" s="78" t="s">
        <v>163</v>
      </c>
      <c r="F289" s="46">
        <v>6</v>
      </c>
      <c r="G289" s="38">
        <v>95300</v>
      </c>
      <c r="H289" s="52">
        <f>+G289*F289</f>
        <v>571800</v>
      </c>
    </row>
    <row r="290" spans="2:8" x14ac:dyDescent="0.3">
      <c r="B290" s="260"/>
      <c r="C290" s="61" t="s">
        <v>117</v>
      </c>
      <c r="D290" s="160" t="s">
        <v>121</v>
      </c>
      <c r="E290" s="131"/>
      <c r="F290" s="119"/>
      <c r="G290" s="120"/>
      <c r="H290" s="121"/>
    </row>
    <row r="291" spans="2:8" x14ac:dyDescent="0.3">
      <c r="B291" s="260"/>
      <c r="C291" s="65" t="s">
        <v>270</v>
      </c>
      <c r="D291" s="166" t="s">
        <v>646</v>
      </c>
      <c r="E291" s="97"/>
      <c r="F291" s="67"/>
      <c r="G291" s="68"/>
      <c r="H291" s="89"/>
    </row>
    <row r="292" spans="2:8" x14ac:dyDescent="0.3">
      <c r="B292" s="260"/>
      <c r="C292" s="91" t="s">
        <v>271</v>
      </c>
      <c r="D292" s="167" t="s">
        <v>549</v>
      </c>
      <c r="E292" s="78" t="s">
        <v>177</v>
      </c>
      <c r="F292" s="141">
        <v>1</v>
      </c>
      <c r="G292" s="137">
        <v>1250000</v>
      </c>
      <c r="H292" s="138">
        <f t="shared" ref="H292:H299" si="40">G292*F292</f>
        <v>1250000</v>
      </c>
    </row>
    <row r="293" spans="2:8" x14ac:dyDescent="0.3">
      <c r="B293" s="260"/>
      <c r="C293" s="91" t="s">
        <v>294</v>
      </c>
      <c r="D293" s="167" t="s">
        <v>550</v>
      </c>
      <c r="E293" s="78" t="s">
        <v>163</v>
      </c>
      <c r="F293" s="141">
        <v>1</v>
      </c>
      <c r="G293" s="137">
        <v>850000</v>
      </c>
      <c r="H293" s="138">
        <f t="shared" si="40"/>
        <v>850000</v>
      </c>
    </row>
    <row r="294" spans="2:8" x14ac:dyDescent="0.3">
      <c r="B294" s="260"/>
      <c r="C294" s="91" t="s">
        <v>295</v>
      </c>
      <c r="D294" s="167" t="s">
        <v>551</v>
      </c>
      <c r="E294" s="78" t="s">
        <v>163</v>
      </c>
      <c r="F294" s="141">
        <v>500</v>
      </c>
      <c r="G294" s="137">
        <v>14873</v>
      </c>
      <c r="H294" s="138">
        <f t="shared" si="40"/>
        <v>7436500</v>
      </c>
    </row>
    <row r="295" spans="2:8" x14ac:dyDescent="0.3">
      <c r="B295" s="260"/>
      <c r="C295" s="91" t="s">
        <v>794</v>
      </c>
      <c r="D295" s="167" t="s">
        <v>552</v>
      </c>
      <c r="E295" s="78" t="s">
        <v>163</v>
      </c>
      <c r="F295" s="141">
        <v>1</v>
      </c>
      <c r="G295" s="137">
        <v>585000</v>
      </c>
      <c r="H295" s="138">
        <f t="shared" si="40"/>
        <v>585000</v>
      </c>
    </row>
    <row r="296" spans="2:8" x14ac:dyDescent="0.3">
      <c r="B296" s="260"/>
      <c r="C296" s="65" t="s">
        <v>296</v>
      </c>
      <c r="D296" s="168" t="s">
        <v>553</v>
      </c>
      <c r="E296" s="150"/>
      <c r="F296" s="143"/>
      <c r="G296" s="144"/>
      <c r="H296" s="145"/>
    </row>
    <row r="297" spans="2:8" x14ac:dyDescent="0.3">
      <c r="B297" s="260"/>
      <c r="C297" s="90" t="s">
        <v>297</v>
      </c>
      <c r="D297" s="167" t="s">
        <v>187</v>
      </c>
      <c r="E297" s="78" t="s">
        <v>163</v>
      </c>
      <c r="F297" s="141">
        <v>1</v>
      </c>
      <c r="G297" s="137">
        <v>2628840</v>
      </c>
      <c r="H297" s="138">
        <f t="shared" si="40"/>
        <v>2628840</v>
      </c>
    </row>
    <row r="298" spans="2:8" x14ac:dyDescent="0.3">
      <c r="B298" s="260"/>
      <c r="C298" s="90" t="s">
        <v>298</v>
      </c>
      <c r="D298" s="167" t="s">
        <v>554</v>
      </c>
      <c r="E298" s="78" t="s">
        <v>163</v>
      </c>
      <c r="F298" s="141">
        <v>1</v>
      </c>
      <c r="G298" s="137">
        <v>1445000</v>
      </c>
      <c r="H298" s="138">
        <f t="shared" si="40"/>
        <v>1445000</v>
      </c>
    </row>
    <row r="299" spans="2:8" x14ac:dyDescent="0.3">
      <c r="B299" s="260"/>
      <c r="C299" s="90" t="s">
        <v>299</v>
      </c>
      <c r="D299" s="167" t="s">
        <v>186</v>
      </c>
      <c r="E299" s="78" t="s">
        <v>177</v>
      </c>
      <c r="F299" s="141">
        <v>1</v>
      </c>
      <c r="G299" s="137">
        <v>250000</v>
      </c>
      <c r="H299" s="138">
        <f t="shared" si="40"/>
        <v>250000</v>
      </c>
    </row>
    <row r="300" spans="2:8" x14ac:dyDescent="0.3">
      <c r="B300" s="260"/>
      <c r="C300" s="65" t="s">
        <v>300</v>
      </c>
      <c r="D300" s="168" t="s">
        <v>647</v>
      </c>
      <c r="E300" s="150"/>
      <c r="F300" s="143"/>
      <c r="G300" s="144"/>
      <c r="H300" s="145"/>
    </row>
    <row r="301" spans="2:8" x14ac:dyDescent="0.3">
      <c r="B301" s="260"/>
      <c r="C301" s="90" t="s">
        <v>301</v>
      </c>
      <c r="D301" s="167" t="s">
        <v>635</v>
      </c>
      <c r="E301" s="151" t="s">
        <v>329</v>
      </c>
      <c r="F301" s="141">
        <v>500</v>
      </c>
      <c r="G301" s="137">
        <v>14500</v>
      </c>
      <c r="H301" s="147">
        <f>F301*G301</f>
        <v>7250000</v>
      </c>
    </row>
    <row r="302" spans="2:8" x14ac:dyDescent="0.3">
      <c r="B302" s="260"/>
      <c r="C302" s="90" t="s">
        <v>500</v>
      </c>
      <c r="D302" s="167" t="s">
        <v>636</v>
      </c>
      <c r="E302" s="151" t="s">
        <v>329</v>
      </c>
      <c r="F302" s="141">
        <v>500</v>
      </c>
      <c r="G302" s="137">
        <v>1400</v>
      </c>
      <c r="H302" s="147">
        <f>F302*G302</f>
        <v>700000</v>
      </c>
    </row>
    <row r="303" spans="2:8" x14ac:dyDescent="0.3">
      <c r="B303" s="260"/>
      <c r="C303" s="90" t="s">
        <v>795</v>
      </c>
      <c r="D303" s="167" t="s">
        <v>186</v>
      </c>
      <c r="E303" s="78" t="s">
        <v>177</v>
      </c>
      <c r="F303" s="141">
        <v>1</v>
      </c>
      <c r="G303" s="137">
        <v>800000</v>
      </c>
      <c r="H303" s="147">
        <f>F303*G303</f>
        <v>800000</v>
      </c>
    </row>
    <row r="304" spans="2:8" x14ac:dyDescent="0.3">
      <c r="B304" s="260"/>
      <c r="C304" s="65" t="s">
        <v>303</v>
      </c>
      <c r="D304" s="168" t="s">
        <v>189</v>
      </c>
      <c r="E304" s="150"/>
      <c r="F304" s="143"/>
      <c r="G304" s="144"/>
      <c r="H304" s="146"/>
    </row>
    <row r="305" spans="2:8" x14ac:dyDescent="0.3">
      <c r="B305" s="260"/>
      <c r="C305" s="91" t="s">
        <v>302</v>
      </c>
      <c r="D305" s="169" t="s">
        <v>578</v>
      </c>
      <c r="E305" s="78" t="s">
        <v>163</v>
      </c>
      <c r="F305" s="141">
        <v>30</v>
      </c>
      <c r="G305" s="137">
        <v>37685</v>
      </c>
      <c r="H305" s="147">
        <f>F305*G305</f>
        <v>1130550</v>
      </c>
    </row>
    <row r="306" spans="2:8" x14ac:dyDescent="0.3">
      <c r="B306" s="260"/>
      <c r="C306" s="91" t="s">
        <v>304</v>
      </c>
      <c r="D306" s="148" t="s">
        <v>542</v>
      </c>
      <c r="E306" s="78" t="s">
        <v>163</v>
      </c>
      <c r="F306" s="141">
        <v>18</v>
      </c>
      <c r="G306" s="137">
        <v>38590</v>
      </c>
      <c r="H306" s="147">
        <f t="shared" ref="H306:H314" si="41">F306*G306</f>
        <v>694620</v>
      </c>
    </row>
    <row r="307" spans="2:8" x14ac:dyDescent="0.3">
      <c r="B307" s="260"/>
      <c r="C307" s="91" t="s">
        <v>305</v>
      </c>
      <c r="D307" s="148" t="s">
        <v>543</v>
      </c>
      <c r="E307" s="78" t="s">
        <v>163</v>
      </c>
      <c r="F307" s="141">
        <v>12</v>
      </c>
      <c r="G307" s="137">
        <v>44290</v>
      </c>
      <c r="H307" s="147">
        <f t="shared" si="41"/>
        <v>531480</v>
      </c>
    </row>
    <row r="308" spans="2:8" x14ac:dyDescent="0.3">
      <c r="B308" s="260"/>
      <c r="C308" s="91" t="s">
        <v>306</v>
      </c>
      <c r="D308" s="148" t="s">
        <v>579</v>
      </c>
      <c r="E308" s="78" t="s">
        <v>163</v>
      </c>
      <c r="F308" s="141">
        <v>16</v>
      </c>
      <c r="G308" s="137">
        <v>29900</v>
      </c>
      <c r="H308" s="147">
        <f t="shared" si="41"/>
        <v>478400</v>
      </c>
    </row>
    <row r="309" spans="2:8" x14ac:dyDescent="0.3">
      <c r="B309" s="260"/>
      <c r="C309" s="91" t="s">
        <v>796</v>
      </c>
      <c r="D309" s="148" t="s">
        <v>544</v>
      </c>
      <c r="E309" s="151" t="s">
        <v>329</v>
      </c>
      <c r="F309" s="141">
        <v>20</v>
      </c>
      <c r="G309" s="137">
        <v>65435</v>
      </c>
      <c r="H309" s="147">
        <f t="shared" si="41"/>
        <v>1308700</v>
      </c>
    </row>
    <row r="310" spans="2:8" x14ac:dyDescent="0.3">
      <c r="B310" s="260"/>
      <c r="C310" s="91" t="s">
        <v>797</v>
      </c>
      <c r="D310" s="148" t="s">
        <v>545</v>
      </c>
      <c r="E310" s="78" t="s">
        <v>163</v>
      </c>
      <c r="F310" s="141">
        <v>9</v>
      </c>
      <c r="G310" s="137">
        <v>96135</v>
      </c>
      <c r="H310" s="147">
        <f t="shared" si="41"/>
        <v>865215</v>
      </c>
    </row>
    <row r="311" spans="2:8" x14ac:dyDescent="0.3">
      <c r="B311" s="260"/>
      <c r="C311" s="91" t="s">
        <v>798</v>
      </c>
      <c r="D311" s="148" t="s">
        <v>190</v>
      </c>
      <c r="E311" s="78" t="s">
        <v>163</v>
      </c>
      <c r="F311" s="141">
        <v>10</v>
      </c>
      <c r="G311" s="137">
        <v>55503</v>
      </c>
      <c r="H311" s="147">
        <f t="shared" si="41"/>
        <v>555030</v>
      </c>
    </row>
    <row r="312" spans="2:8" x14ac:dyDescent="0.3">
      <c r="B312" s="260"/>
      <c r="C312" s="91" t="s">
        <v>799</v>
      </c>
      <c r="D312" s="148" t="s">
        <v>546</v>
      </c>
      <c r="E312" s="78" t="s">
        <v>163</v>
      </c>
      <c r="F312" s="141">
        <v>8</v>
      </c>
      <c r="G312" s="137">
        <v>242990</v>
      </c>
      <c r="H312" s="147">
        <f t="shared" si="41"/>
        <v>1943920</v>
      </c>
    </row>
    <row r="313" spans="2:8" x14ac:dyDescent="0.3">
      <c r="B313" s="260"/>
      <c r="C313" s="91" t="s">
        <v>800</v>
      </c>
      <c r="D313" s="148" t="s">
        <v>547</v>
      </c>
      <c r="E313" s="78" t="s">
        <v>163</v>
      </c>
      <c r="F313" s="141">
        <v>6</v>
      </c>
      <c r="G313" s="137">
        <v>208500</v>
      </c>
      <c r="H313" s="147">
        <f t="shared" si="41"/>
        <v>1251000</v>
      </c>
    </row>
    <row r="314" spans="2:8" ht="19.5" customHeight="1" x14ac:dyDescent="0.3">
      <c r="B314" s="260"/>
      <c r="C314" s="91" t="s">
        <v>801</v>
      </c>
      <c r="D314" s="235" t="s">
        <v>645</v>
      </c>
      <c r="E314" s="99" t="s">
        <v>163</v>
      </c>
      <c r="F314" s="236">
        <f>8+6</f>
        <v>14</v>
      </c>
      <c r="G314" s="42">
        <v>359800</v>
      </c>
      <c r="H314" s="147">
        <f t="shared" si="41"/>
        <v>5037200</v>
      </c>
    </row>
    <row r="315" spans="2:8" x14ac:dyDescent="0.3">
      <c r="B315" s="260"/>
      <c r="C315" s="65" t="s">
        <v>502</v>
      </c>
      <c r="D315" s="168" t="s">
        <v>557</v>
      </c>
      <c r="E315" s="150"/>
      <c r="F315" s="143"/>
      <c r="G315" s="144"/>
      <c r="H315" s="146"/>
    </row>
    <row r="316" spans="2:8" x14ac:dyDescent="0.3">
      <c r="B316" s="260"/>
      <c r="C316" s="65" t="s">
        <v>503</v>
      </c>
      <c r="D316" s="168" t="s">
        <v>558</v>
      </c>
      <c r="E316" s="150"/>
      <c r="F316" s="143"/>
      <c r="G316" s="144"/>
      <c r="H316" s="146"/>
    </row>
    <row r="317" spans="2:8" x14ac:dyDescent="0.3">
      <c r="B317" s="260"/>
      <c r="C317" s="91" t="s">
        <v>802</v>
      </c>
      <c r="D317" s="167" t="s">
        <v>559</v>
      </c>
      <c r="E317" s="78" t="s">
        <v>163</v>
      </c>
      <c r="F317" s="141">
        <v>51</v>
      </c>
      <c r="G317" s="137">
        <v>41520</v>
      </c>
      <c r="H317" s="147">
        <f>F317*G317</f>
        <v>2117520</v>
      </c>
    </row>
    <row r="318" spans="2:8" x14ac:dyDescent="0.3">
      <c r="B318" s="260"/>
      <c r="C318" s="91" t="s">
        <v>803</v>
      </c>
      <c r="D318" s="167" t="s">
        <v>560</v>
      </c>
      <c r="E318" s="78" t="s">
        <v>163</v>
      </c>
      <c r="F318" s="141">
        <v>37</v>
      </c>
      <c r="G318" s="137">
        <v>45840</v>
      </c>
      <c r="H318" s="147">
        <f t="shared" ref="H318:H320" si="42">F318*G318</f>
        <v>1696080</v>
      </c>
    </row>
    <row r="319" spans="2:8" x14ac:dyDescent="0.3">
      <c r="B319" s="260"/>
      <c r="C319" s="91" t="s">
        <v>804</v>
      </c>
      <c r="D319" s="167" t="s">
        <v>561</v>
      </c>
      <c r="E319" s="78" t="s">
        <v>163</v>
      </c>
      <c r="F319" s="141">
        <v>6</v>
      </c>
      <c r="G319" s="137">
        <v>583750</v>
      </c>
      <c r="H319" s="147">
        <f t="shared" si="42"/>
        <v>3502500</v>
      </c>
    </row>
    <row r="320" spans="2:8" x14ac:dyDescent="0.3">
      <c r="B320" s="260"/>
      <c r="C320" s="91" t="s">
        <v>805</v>
      </c>
      <c r="D320" s="167" t="s">
        <v>562</v>
      </c>
      <c r="E320" s="78" t="s">
        <v>163</v>
      </c>
      <c r="F320" s="141">
        <v>8</v>
      </c>
      <c r="G320" s="137">
        <v>421450</v>
      </c>
      <c r="H320" s="147">
        <f t="shared" si="42"/>
        <v>3371600</v>
      </c>
    </row>
    <row r="321" spans="2:8" x14ac:dyDescent="0.3">
      <c r="B321" s="260"/>
      <c r="C321" s="91" t="s">
        <v>806</v>
      </c>
      <c r="D321" s="167" t="s">
        <v>563</v>
      </c>
      <c r="E321" s="78" t="s">
        <v>163</v>
      </c>
      <c r="F321" s="141">
        <v>80</v>
      </c>
      <c r="G321" s="137">
        <v>48126</v>
      </c>
      <c r="H321" s="147">
        <f>F321*G321</f>
        <v>3850080</v>
      </c>
    </row>
    <row r="322" spans="2:8" x14ac:dyDescent="0.3">
      <c r="B322" s="260"/>
      <c r="C322" s="91" t="s">
        <v>807</v>
      </c>
      <c r="D322" s="167" t="s">
        <v>564</v>
      </c>
      <c r="E322" s="78" t="s">
        <v>163</v>
      </c>
      <c r="F322" s="141">
        <v>13</v>
      </c>
      <c r="G322" s="137">
        <v>42580</v>
      </c>
      <c r="H322" s="147">
        <f>F322*G322</f>
        <v>553540</v>
      </c>
    </row>
    <row r="323" spans="2:8" x14ac:dyDescent="0.3">
      <c r="B323" s="260"/>
      <c r="C323" s="65" t="s">
        <v>505</v>
      </c>
      <c r="D323" s="168" t="s">
        <v>555</v>
      </c>
      <c r="E323" s="150"/>
      <c r="F323" s="143"/>
      <c r="G323" s="144"/>
      <c r="H323" s="146"/>
    </row>
    <row r="324" spans="2:8" x14ac:dyDescent="0.3">
      <c r="B324" s="260"/>
      <c r="C324" s="90" t="s">
        <v>506</v>
      </c>
      <c r="D324" s="169" t="s">
        <v>556</v>
      </c>
      <c r="E324" s="151" t="s">
        <v>329</v>
      </c>
      <c r="F324" s="141">
        <v>52</v>
      </c>
      <c r="G324" s="137">
        <v>35559</v>
      </c>
      <c r="H324" s="147">
        <f t="shared" ref="H324:H325" si="43">G324*F324</f>
        <v>1849068</v>
      </c>
    </row>
    <row r="325" spans="2:8" x14ac:dyDescent="0.3">
      <c r="B325" s="260"/>
      <c r="C325" s="90" t="s">
        <v>808</v>
      </c>
      <c r="D325" s="208" t="s">
        <v>541</v>
      </c>
      <c r="E325" s="209" t="s">
        <v>177</v>
      </c>
      <c r="F325" s="141">
        <v>30</v>
      </c>
      <c r="G325" s="210">
        <v>35000</v>
      </c>
      <c r="H325" s="211">
        <f t="shared" si="43"/>
        <v>1050000</v>
      </c>
    </row>
    <row r="326" spans="2:8" x14ac:dyDescent="0.3">
      <c r="B326" s="260"/>
      <c r="C326" s="220" t="s">
        <v>809</v>
      </c>
      <c r="D326" s="221" t="s">
        <v>642</v>
      </c>
      <c r="E326" s="222"/>
      <c r="F326" s="225"/>
      <c r="G326" s="223"/>
      <c r="H326" s="224"/>
    </row>
    <row r="327" spans="2:8" x14ac:dyDescent="0.3">
      <c r="B327" s="260"/>
      <c r="C327" s="215" t="s">
        <v>810</v>
      </c>
      <c r="D327" s="216" t="s">
        <v>641</v>
      </c>
      <c r="E327" s="218" t="s">
        <v>329</v>
      </c>
      <c r="F327" s="226">
        <v>120</v>
      </c>
      <c r="G327" s="212">
        <v>7833</v>
      </c>
      <c r="H327" s="219">
        <f>+F327*G327</f>
        <v>939960</v>
      </c>
    </row>
    <row r="328" spans="2:8" x14ac:dyDescent="0.3">
      <c r="B328" s="260"/>
      <c r="C328" s="215" t="s">
        <v>811</v>
      </c>
      <c r="D328" s="216" t="s">
        <v>639</v>
      </c>
      <c r="E328" s="218" t="s">
        <v>329</v>
      </c>
      <c r="F328" s="226">
        <v>120</v>
      </c>
      <c r="G328" s="212">
        <v>27833</v>
      </c>
      <c r="H328" s="219">
        <f>+F328*G328</f>
        <v>3339960</v>
      </c>
    </row>
    <row r="329" spans="2:8" x14ac:dyDescent="0.3">
      <c r="B329" s="260"/>
      <c r="C329" s="215" t="s">
        <v>812</v>
      </c>
      <c r="D329" s="216" t="s">
        <v>640</v>
      </c>
      <c r="E329" s="78" t="s">
        <v>163</v>
      </c>
      <c r="F329" s="226">
        <v>2</v>
      </c>
      <c r="G329" s="212">
        <v>549545</v>
      </c>
      <c r="H329" s="219">
        <f>+F329*G329</f>
        <v>1099090</v>
      </c>
    </row>
    <row r="330" spans="2:8" x14ac:dyDescent="0.3">
      <c r="B330" s="260"/>
      <c r="C330" s="65" t="s">
        <v>520</v>
      </c>
      <c r="D330" s="170" t="s">
        <v>188</v>
      </c>
      <c r="E330" s="97"/>
      <c r="F330" s="67"/>
      <c r="G330" s="68"/>
      <c r="H330" s="142"/>
    </row>
    <row r="331" spans="2:8" x14ac:dyDescent="0.3">
      <c r="B331" s="260"/>
      <c r="C331" s="90" t="s">
        <v>521</v>
      </c>
      <c r="D331" s="171" t="s">
        <v>638</v>
      </c>
      <c r="E331" s="78" t="s">
        <v>177</v>
      </c>
      <c r="F331" s="141">
        <v>1</v>
      </c>
      <c r="G331" s="137">
        <v>845005</v>
      </c>
      <c r="H331" s="147">
        <f t="shared" ref="H331:H333" si="44">G331*F331</f>
        <v>845005</v>
      </c>
    </row>
    <row r="332" spans="2:8" x14ac:dyDescent="0.3">
      <c r="B332" s="260"/>
      <c r="C332" s="90" t="s">
        <v>522</v>
      </c>
      <c r="D332" s="171" t="s">
        <v>649</v>
      </c>
      <c r="E332" s="78" t="s">
        <v>177</v>
      </c>
      <c r="F332" s="141">
        <v>1</v>
      </c>
      <c r="G332" s="137">
        <v>2205610</v>
      </c>
      <c r="H332" s="147">
        <f t="shared" si="44"/>
        <v>2205610</v>
      </c>
    </row>
    <row r="333" spans="2:8" x14ac:dyDescent="0.3">
      <c r="B333" s="260"/>
      <c r="C333" s="90" t="s">
        <v>523</v>
      </c>
      <c r="D333" s="148" t="s">
        <v>637</v>
      </c>
      <c r="E333" s="151" t="s">
        <v>329</v>
      </c>
      <c r="F333" s="141">
        <v>10</v>
      </c>
      <c r="G333" s="137">
        <v>45750</v>
      </c>
      <c r="H333" s="147">
        <f t="shared" si="44"/>
        <v>457500</v>
      </c>
    </row>
    <row r="334" spans="2:8" x14ac:dyDescent="0.3">
      <c r="B334" s="260"/>
      <c r="C334" s="65" t="s">
        <v>813</v>
      </c>
      <c r="D334" s="153" t="s">
        <v>192</v>
      </c>
      <c r="E334" s="97"/>
      <c r="F334" s="67"/>
      <c r="G334" s="68"/>
      <c r="H334" s="89"/>
    </row>
    <row r="335" spans="2:8" x14ac:dyDescent="0.3">
      <c r="B335" s="260"/>
      <c r="C335" s="90" t="s">
        <v>814</v>
      </c>
      <c r="D335" s="154" t="s">
        <v>643</v>
      </c>
      <c r="E335" s="78" t="s">
        <v>163</v>
      </c>
      <c r="F335" s="46">
        <v>1</v>
      </c>
      <c r="G335" s="38">
        <v>18157000</v>
      </c>
      <c r="H335" s="52">
        <f>+F335*G335</f>
        <v>18157000</v>
      </c>
    </row>
    <row r="336" spans="2:8" x14ac:dyDescent="0.3">
      <c r="B336" s="260"/>
      <c r="C336" s="90" t="s">
        <v>815</v>
      </c>
      <c r="D336" s="154" t="s">
        <v>644</v>
      </c>
      <c r="E336" s="78" t="s">
        <v>163</v>
      </c>
      <c r="F336" s="46">
        <v>1</v>
      </c>
      <c r="G336" s="38">
        <v>1252100</v>
      </c>
      <c r="H336" s="52">
        <f>+F336*G336</f>
        <v>1252100</v>
      </c>
    </row>
    <row r="337" spans="2:8" x14ac:dyDescent="0.3">
      <c r="B337" s="260"/>
      <c r="C337" s="90" t="s">
        <v>816</v>
      </c>
      <c r="D337" s="154" t="s">
        <v>193</v>
      </c>
      <c r="E337" s="78" t="s">
        <v>177</v>
      </c>
      <c r="F337" s="46">
        <v>1</v>
      </c>
      <c r="G337" s="38">
        <v>351000</v>
      </c>
      <c r="H337" s="52">
        <f>+F337*G337</f>
        <v>351000</v>
      </c>
    </row>
    <row r="338" spans="2:8" x14ac:dyDescent="0.3">
      <c r="B338" s="260"/>
      <c r="C338" s="90" t="s">
        <v>817</v>
      </c>
      <c r="D338" s="154" t="s">
        <v>194</v>
      </c>
      <c r="E338" s="78" t="s">
        <v>177</v>
      </c>
      <c r="F338" s="46">
        <v>1</v>
      </c>
      <c r="G338" s="38">
        <v>500000</v>
      </c>
      <c r="H338" s="52">
        <f>+F338*G338</f>
        <v>500000</v>
      </c>
    </row>
    <row r="339" spans="2:8" x14ac:dyDescent="0.3">
      <c r="B339" s="260"/>
      <c r="C339" s="65" t="s">
        <v>818</v>
      </c>
      <c r="D339" s="153" t="s">
        <v>650</v>
      </c>
      <c r="E339" s="97"/>
      <c r="F339" s="67"/>
      <c r="G339" s="68"/>
      <c r="H339" s="89"/>
    </row>
    <row r="340" spans="2:8" x14ac:dyDescent="0.3">
      <c r="B340" s="260"/>
      <c r="C340" s="90" t="s">
        <v>819</v>
      </c>
      <c r="D340" s="154" t="s">
        <v>655</v>
      </c>
      <c r="E340" s="262" t="s">
        <v>372</v>
      </c>
      <c r="F340" s="263"/>
      <c r="G340" s="263"/>
      <c r="H340" s="264"/>
    </row>
    <row r="341" spans="2:8" x14ac:dyDescent="0.3">
      <c r="B341" s="260"/>
      <c r="C341" s="65" t="s">
        <v>820</v>
      </c>
      <c r="D341" s="153" t="s">
        <v>654</v>
      </c>
      <c r="E341" s="97"/>
      <c r="F341" s="67"/>
      <c r="G341" s="68"/>
      <c r="H341" s="89"/>
    </row>
    <row r="342" spans="2:8" x14ac:dyDescent="0.3">
      <c r="B342" s="260"/>
      <c r="C342" s="90" t="s">
        <v>821</v>
      </c>
      <c r="D342" s="154" t="s">
        <v>651</v>
      </c>
      <c r="E342" s="262" t="s">
        <v>372</v>
      </c>
      <c r="F342" s="263"/>
      <c r="G342" s="263"/>
      <c r="H342" s="264"/>
    </row>
    <row r="343" spans="2:8" x14ac:dyDescent="0.3">
      <c r="B343" s="260"/>
      <c r="C343" s="65" t="s">
        <v>822</v>
      </c>
      <c r="D343" s="153" t="s">
        <v>656</v>
      </c>
      <c r="E343" s="97"/>
      <c r="F343" s="67"/>
      <c r="G343" s="68"/>
      <c r="H343" s="89"/>
    </row>
    <row r="344" spans="2:8" x14ac:dyDescent="0.3">
      <c r="B344" s="260"/>
      <c r="C344" s="90" t="s">
        <v>823</v>
      </c>
      <c r="D344" s="154" t="s">
        <v>652</v>
      </c>
      <c r="E344" s="262" t="s">
        <v>372</v>
      </c>
      <c r="F344" s="263"/>
      <c r="G344" s="263"/>
      <c r="H344" s="264"/>
    </row>
    <row r="345" spans="2:8" x14ac:dyDescent="0.3">
      <c r="B345" s="260"/>
      <c r="C345" s="90" t="s">
        <v>824</v>
      </c>
      <c r="D345" s="228" t="s">
        <v>657</v>
      </c>
      <c r="E345" s="262" t="s">
        <v>372</v>
      </c>
      <c r="F345" s="263"/>
      <c r="G345" s="263"/>
      <c r="H345" s="264"/>
    </row>
    <row r="346" spans="2:8" x14ac:dyDescent="0.3">
      <c r="B346" s="260"/>
      <c r="C346" s="90" t="s">
        <v>825</v>
      </c>
      <c r="D346" s="183" t="s">
        <v>653</v>
      </c>
      <c r="E346" s="262" t="s">
        <v>372</v>
      </c>
      <c r="F346" s="263"/>
      <c r="G346" s="263"/>
      <c r="H346" s="264"/>
    </row>
    <row r="347" spans="2:8" x14ac:dyDescent="0.3">
      <c r="B347" s="260"/>
      <c r="C347" s="174" t="s">
        <v>118</v>
      </c>
      <c r="D347" s="217" t="s">
        <v>569</v>
      </c>
      <c r="E347" s="175"/>
      <c r="F347" s="227"/>
      <c r="G347" s="176"/>
      <c r="H347" s="177"/>
    </row>
    <row r="348" spans="2:8" x14ac:dyDescent="0.3">
      <c r="B348" s="260"/>
      <c r="C348" s="122" t="s">
        <v>128</v>
      </c>
      <c r="D348" s="213" t="s">
        <v>164</v>
      </c>
      <c r="E348" s="97"/>
      <c r="F348" s="67"/>
      <c r="G348" s="68"/>
      <c r="H348" s="89"/>
    </row>
    <row r="349" spans="2:8" x14ac:dyDescent="0.3">
      <c r="B349" s="260"/>
      <c r="C349" s="71" t="s">
        <v>307</v>
      </c>
      <c r="D349" s="214" t="s">
        <v>580</v>
      </c>
      <c r="E349" s="78" t="s">
        <v>163</v>
      </c>
      <c r="F349" s="46">
        <v>3</v>
      </c>
      <c r="G349" s="48">
        <v>18890</v>
      </c>
      <c r="H349" s="52">
        <f>+F349*G349</f>
        <v>56670</v>
      </c>
    </row>
    <row r="350" spans="2:8" x14ac:dyDescent="0.3">
      <c r="B350" s="260"/>
      <c r="C350" s="71" t="s">
        <v>308</v>
      </c>
      <c r="D350" s="214" t="s">
        <v>581</v>
      </c>
      <c r="E350" s="78" t="s">
        <v>163</v>
      </c>
      <c r="F350" s="46">
        <v>30</v>
      </c>
      <c r="G350" s="48">
        <v>14890</v>
      </c>
      <c r="H350" s="52">
        <f>+F350*G350</f>
        <v>446700</v>
      </c>
    </row>
    <row r="351" spans="2:8" x14ac:dyDescent="0.3">
      <c r="B351" s="260"/>
      <c r="C351" s="122" t="s">
        <v>129</v>
      </c>
      <c r="D351" s="213" t="s">
        <v>566</v>
      </c>
      <c r="E351" s="97"/>
      <c r="F351" s="67"/>
      <c r="G351" s="68"/>
      <c r="H351" s="89"/>
    </row>
    <row r="352" spans="2:8" x14ac:dyDescent="0.3">
      <c r="B352" s="260"/>
      <c r="C352" s="149" t="s">
        <v>309</v>
      </c>
      <c r="D352" s="214" t="s">
        <v>567</v>
      </c>
      <c r="E352" s="78" t="s">
        <v>163</v>
      </c>
      <c r="F352" s="46">
        <v>2</v>
      </c>
      <c r="G352" s="48">
        <v>37890</v>
      </c>
      <c r="H352" s="52">
        <f>+F352*G352</f>
        <v>75780</v>
      </c>
    </row>
    <row r="353" spans="2:8" x14ac:dyDescent="0.3">
      <c r="B353" s="260"/>
      <c r="C353" s="149" t="s">
        <v>565</v>
      </c>
      <c r="D353" s="154" t="s">
        <v>568</v>
      </c>
      <c r="E353" s="78" t="s">
        <v>163</v>
      </c>
      <c r="F353" s="46">
        <v>1</v>
      </c>
      <c r="G353" s="48">
        <v>1858740</v>
      </c>
      <c r="H353" s="52">
        <f>+F353*G353</f>
        <v>1858740</v>
      </c>
    </row>
    <row r="354" spans="2:8" x14ac:dyDescent="0.3">
      <c r="B354" s="260"/>
      <c r="C354" s="122" t="s">
        <v>130</v>
      </c>
      <c r="D354" s="213" t="s">
        <v>582</v>
      </c>
      <c r="E354" s="97"/>
      <c r="F354" s="67"/>
      <c r="G354" s="68"/>
      <c r="H354" s="89"/>
    </row>
    <row r="355" spans="2:8" x14ac:dyDescent="0.3">
      <c r="B355" s="260"/>
      <c r="C355" s="149" t="s">
        <v>310</v>
      </c>
      <c r="D355" s="214" t="s">
        <v>167</v>
      </c>
      <c r="E355" s="78" t="s">
        <v>163</v>
      </c>
      <c r="F355" s="46">
        <v>9</v>
      </c>
      <c r="G355" s="48">
        <v>37890</v>
      </c>
      <c r="H355" s="52">
        <f>+F355*G355</f>
        <v>341010</v>
      </c>
    </row>
    <row r="356" spans="2:8" x14ac:dyDescent="0.3">
      <c r="B356" s="260"/>
      <c r="C356" s="122" t="s">
        <v>131</v>
      </c>
      <c r="D356" s="213" t="s">
        <v>165</v>
      </c>
      <c r="E356" s="97"/>
      <c r="F356" s="67"/>
      <c r="G356" s="68"/>
      <c r="H356" s="89"/>
    </row>
    <row r="357" spans="2:8" x14ac:dyDescent="0.3">
      <c r="B357" s="260"/>
      <c r="C357" s="149" t="s">
        <v>311</v>
      </c>
      <c r="D357" s="214" t="s">
        <v>166</v>
      </c>
      <c r="E357" s="78" t="s">
        <v>163</v>
      </c>
      <c r="F357" s="46">
        <v>8</v>
      </c>
      <c r="G357" s="48">
        <v>55870</v>
      </c>
      <c r="H357" s="52">
        <f>+F357*G357</f>
        <v>446960</v>
      </c>
    </row>
    <row r="358" spans="2:8" x14ac:dyDescent="0.3">
      <c r="B358" s="260"/>
      <c r="C358" s="61" t="s">
        <v>147</v>
      </c>
      <c r="D358" s="157" t="s">
        <v>319</v>
      </c>
      <c r="E358" s="79"/>
      <c r="F358" s="60"/>
      <c r="G358" s="56"/>
      <c r="H358" s="80"/>
    </row>
    <row r="359" spans="2:8" x14ac:dyDescent="0.3">
      <c r="B359" s="260"/>
      <c r="C359" s="65" t="s">
        <v>148</v>
      </c>
      <c r="D359" s="156" t="s">
        <v>220</v>
      </c>
      <c r="E359" s="97"/>
      <c r="F359" s="67"/>
      <c r="G359" s="68"/>
      <c r="H359" s="89"/>
    </row>
    <row r="360" spans="2:8" x14ac:dyDescent="0.3">
      <c r="B360" s="260"/>
      <c r="C360" s="91" t="s">
        <v>314</v>
      </c>
      <c r="D360" s="155" t="s">
        <v>221</v>
      </c>
      <c r="E360" s="78" t="s">
        <v>329</v>
      </c>
      <c r="F360" s="46">
        <v>220</v>
      </c>
      <c r="G360" s="38">
        <v>12870</v>
      </c>
      <c r="H360" s="52">
        <f>+F360*G360</f>
        <v>2831400</v>
      </c>
    </row>
    <row r="361" spans="2:8" x14ac:dyDescent="0.3">
      <c r="B361" s="260"/>
      <c r="C361" s="91" t="s">
        <v>315</v>
      </c>
      <c r="D361" s="155" t="s">
        <v>222</v>
      </c>
      <c r="E361" s="78" t="s">
        <v>163</v>
      </c>
      <c r="F361" s="46">
        <v>4</v>
      </c>
      <c r="G361" s="48">
        <v>199540</v>
      </c>
      <c r="H361" s="88">
        <f>+F361*G361</f>
        <v>798160</v>
      </c>
    </row>
    <row r="362" spans="2:8" x14ac:dyDescent="0.3">
      <c r="B362" s="260"/>
      <c r="C362" s="91" t="s">
        <v>826</v>
      </c>
      <c r="D362" s="155" t="s">
        <v>223</v>
      </c>
      <c r="E362" s="78" t="s">
        <v>163</v>
      </c>
      <c r="F362" s="46">
        <v>24</v>
      </c>
      <c r="G362" s="48">
        <v>42510</v>
      </c>
      <c r="H362" s="88">
        <f>+F362*G362</f>
        <v>1020240</v>
      </c>
    </row>
    <row r="363" spans="2:8" x14ac:dyDescent="0.3">
      <c r="B363" s="260"/>
      <c r="C363" s="91" t="s">
        <v>827</v>
      </c>
      <c r="D363" s="155" t="s">
        <v>648</v>
      </c>
      <c r="E363" s="78" t="s">
        <v>329</v>
      </c>
      <c r="F363" s="46">
        <v>220</v>
      </c>
      <c r="G363" s="38">
        <v>22897</v>
      </c>
      <c r="H363" s="88">
        <f>+F363*G363</f>
        <v>5037340</v>
      </c>
    </row>
    <row r="364" spans="2:8" x14ac:dyDescent="0.3">
      <c r="B364" s="260"/>
      <c r="C364" s="65" t="s">
        <v>312</v>
      </c>
      <c r="D364" s="156" t="s">
        <v>224</v>
      </c>
      <c r="E364" s="97"/>
      <c r="F364" s="67"/>
      <c r="G364" s="68"/>
      <c r="H364" s="89"/>
    </row>
    <row r="365" spans="2:8" x14ac:dyDescent="0.3">
      <c r="B365" s="260"/>
      <c r="C365" s="90" t="s">
        <v>316</v>
      </c>
      <c r="D365" s="155" t="s">
        <v>225</v>
      </c>
      <c r="E365" s="78" t="s">
        <v>163</v>
      </c>
      <c r="F365" s="46">
        <v>25</v>
      </c>
      <c r="G365" s="48">
        <v>38450</v>
      </c>
      <c r="H365" s="88">
        <f>+F365*G365</f>
        <v>961250</v>
      </c>
    </row>
    <row r="366" spans="2:8" x14ac:dyDescent="0.3">
      <c r="B366" s="260"/>
      <c r="C366" s="90" t="s">
        <v>317</v>
      </c>
      <c r="D366" s="155" t="s">
        <v>226</v>
      </c>
      <c r="E366" s="78" t="s">
        <v>163</v>
      </c>
      <c r="F366" s="46">
        <v>4</v>
      </c>
      <c r="G366" s="48">
        <v>38450</v>
      </c>
      <c r="H366" s="88">
        <f>+F366*G366</f>
        <v>153800</v>
      </c>
    </row>
    <row r="367" spans="2:8" x14ac:dyDescent="0.3">
      <c r="B367" s="260"/>
      <c r="C367" s="90" t="s">
        <v>828</v>
      </c>
      <c r="D367" s="155" t="s">
        <v>227</v>
      </c>
      <c r="E367" s="78" t="s">
        <v>163</v>
      </c>
      <c r="F367" s="46">
        <v>2</v>
      </c>
      <c r="G367" s="48">
        <v>38450</v>
      </c>
      <c r="H367" s="88">
        <f>+F367*G367</f>
        <v>76900</v>
      </c>
    </row>
    <row r="368" spans="2:8" x14ac:dyDescent="0.3">
      <c r="B368" s="260"/>
      <c r="C368" s="90" t="s">
        <v>829</v>
      </c>
      <c r="D368" s="155" t="s">
        <v>228</v>
      </c>
      <c r="E368" s="78" t="s">
        <v>163</v>
      </c>
      <c r="F368" s="46">
        <v>6</v>
      </c>
      <c r="G368" s="48">
        <v>38450</v>
      </c>
      <c r="H368" s="88">
        <f>+F368*G368</f>
        <v>230700</v>
      </c>
    </row>
    <row r="369" spans="2:8" x14ac:dyDescent="0.3">
      <c r="B369" s="260"/>
      <c r="C369" s="65" t="s">
        <v>313</v>
      </c>
      <c r="D369" s="156" t="s">
        <v>229</v>
      </c>
      <c r="E369" s="97"/>
      <c r="F369" s="67"/>
      <c r="G369" s="68"/>
      <c r="H369" s="89"/>
    </row>
    <row r="370" spans="2:8" x14ac:dyDescent="0.3">
      <c r="B370" s="260"/>
      <c r="C370" s="90" t="s">
        <v>830</v>
      </c>
      <c r="D370" s="155" t="s">
        <v>230</v>
      </c>
      <c r="E370" s="78" t="s">
        <v>163</v>
      </c>
      <c r="F370" s="46">
        <v>1</v>
      </c>
      <c r="G370" s="48">
        <v>2401587</v>
      </c>
      <c r="H370" s="88">
        <f>+F370*G370</f>
        <v>2401587</v>
      </c>
    </row>
    <row r="371" spans="2:8" x14ac:dyDescent="0.3">
      <c r="B371" s="260"/>
      <c r="C371" s="90" t="s">
        <v>318</v>
      </c>
      <c r="D371" s="155" t="s">
        <v>231</v>
      </c>
      <c r="E371" s="78" t="s">
        <v>329</v>
      </c>
      <c r="F371" s="46">
        <v>496</v>
      </c>
      <c r="G371" s="48">
        <v>2530</v>
      </c>
      <c r="H371" s="88">
        <f>+F371*G371</f>
        <v>1254880</v>
      </c>
    </row>
    <row r="372" spans="2:8" x14ac:dyDescent="0.3">
      <c r="B372" s="260"/>
      <c r="C372" s="90" t="s">
        <v>831</v>
      </c>
      <c r="D372" s="155" t="s">
        <v>232</v>
      </c>
      <c r="E372" s="78" t="s">
        <v>177</v>
      </c>
      <c r="F372" s="46">
        <v>1</v>
      </c>
      <c r="G372" s="48">
        <v>754000</v>
      </c>
      <c r="H372" s="88">
        <f>+F372*G372</f>
        <v>754000</v>
      </c>
    </row>
    <row r="373" spans="2:8" x14ac:dyDescent="0.3">
      <c r="B373" s="260"/>
      <c r="C373" s="90" t="s">
        <v>832</v>
      </c>
      <c r="D373" s="155" t="s">
        <v>233</v>
      </c>
      <c r="E373" s="78" t="s">
        <v>177</v>
      </c>
      <c r="F373" s="46">
        <v>1</v>
      </c>
      <c r="G373" s="48">
        <v>1875404</v>
      </c>
      <c r="H373" s="88">
        <f>+F373*G373</f>
        <v>1875404</v>
      </c>
    </row>
    <row r="374" spans="2:8" x14ac:dyDescent="0.3">
      <c r="B374" s="260"/>
      <c r="C374" s="65" t="s">
        <v>570</v>
      </c>
      <c r="D374" s="156" t="s">
        <v>833</v>
      </c>
      <c r="E374" s="97"/>
      <c r="F374" s="67"/>
      <c r="G374" s="68"/>
      <c r="H374" s="89"/>
    </row>
    <row r="375" spans="2:8" x14ac:dyDescent="0.3">
      <c r="B375" s="260"/>
      <c r="C375" s="91" t="s">
        <v>571</v>
      </c>
      <c r="D375" s="155" t="s">
        <v>837</v>
      </c>
      <c r="E375" s="78" t="s">
        <v>177</v>
      </c>
      <c r="F375" s="46">
        <v>1</v>
      </c>
      <c r="G375" s="38">
        <v>1821600</v>
      </c>
      <c r="H375" s="88">
        <f>+F375*G375</f>
        <v>1821600</v>
      </c>
    </row>
    <row r="376" spans="2:8" x14ac:dyDescent="0.3">
      <c r="B376" s="260"/>
      <c r="C376" s="65" t="s">
        <v>836</v>
      </c>
      <c r="D376" s="156" t="s">
        <v>235</v>
      </c>
      <c r="E376" s="97"/>
      <c r="F376" s="67"/>
      <c r="G376" s="68"/>
      <c r="H376" s="89"/>
    </row>
    <row r="377" spans="2:8" x14ac:dyDescent="0.3">
      <c r="B377" s="260"/>
      <c r="C377" s="90" t="s">
        <v>834</v>
      </c>
      <c r="D377" s="155" t="s">
        <v>583</v>
      </c>
      <c r="E377" s="78" t="s">
        <v>163</v>
      </c>
      <c r="F377" s="46">
        <v>1</v>
      </c>
      <c r="G377" s="48">
        <v>1716000</v>
      </c>
      <c r="H377" s="88">
        <f>+F377*G377</f>
        <v>1716000</v>
      </c>
    </row>
    <row r="378" spans="2:8" x14ac:dyDescent="0.3">
      <c r="B378" s="260"/>
      <c r="C378" s="90" t="s">
        <v>835</v>
      </c>
      <c r="D378" s="155" t="s">
        <v>234</v>
      </c>
      <c r="E378" s="78" t="s">
        <v>329</v>
      </c>
      <c r="F378" s="46">
        <v>17.7</v>
      </c>
      <c r="G378" s="48">
        <v>2530</v>
      </c>
      <c r="H378" s="88">
        <f>+F378*G378</f>
        <v>44781</v>
      </c>
    </row>
    <row r="379" spans="2:8" x14ac:dyDescent="0.3">
      <c r="B379" s="260"/>
      <c r="C379" s="118" t="s">
        <v>572</v>
      </c>
      <c r="D379" s="178" t="s">
        <v>149</v>
      </c>
      <c r="E379" s="131"/>
      <c r="F379" s="119"/>
      <c r="G379" s="120"/>
      <c r="H379" s="121"/>
    </row>
    <row r="380" spans="2:8" x14ac:dyDescent="0.3">
      <c r="B380" s="260"/>
      <c r="C380" s="65" t="s">
        <v>573</v>
      </c>
      <c r="D380" s="161" t="s">
        <v>186</v>
      </c>
      <c r="E380" s="97"/>
      <c r="F380" s="67"/>
      <c r="G380" s="68"/>
      <c r="H380" s="89"/>
    </row>
    <row r="381" spans="2:8" x14ac:dyDescent="0.3">
      <c r="B381" s="260"/>
      <c r="C381" s="91" t="s">
        <v>574</v>
      </c>
      <c r="D381" s="164" t="s">
        <v>585</v>
      </c>
      <c r="E381" s="78" t="s">
        <v>163</v>
      </c>
      <c r="F381" s="46">
        <v>2</v>
      </c>
      <c r="G381" s="38">
        <v>658000</v>
      </c>
      <c r="H381" s="88">
        <f>+F381*G381</f>
        <v>1316000</v>
      </c>
    </row>
    <row r="382" spans="2:8" x14ac:dyDescent="0.3">
      <c r="B382" s="260"/>
      <c r="C382" s="91" t="s">
        <v>575</v>
      </c>
      <c r="D382" s="164" t="s">
        <v>195</v>
      </c>
      <c r="E382" s="78" t="s">
        <v>163</v>
      </c>
      <c r="F382" s="46">
        <v>2</v>
      </c>
      <c r="G382" s="38">
        <v>458000</v>
      </c>
      <c r="H382" s="88">
        <f>+F382*G382</f>
        <v>916000</v>
      </c>
    </row>
    <row r="383" spans="2:8" x14ac:dyDescent="0.3">
      <c r="B383" s="260"/>
      <c r="C383" s="91" t="s">
        <v>576</v>
      </c>
      <c r="D383" s="162" t="s">
        <v>713</v>
      </c>
      <c r="E383" s="78" t="s">
        <v>163</v>
      </c>
      <c r="F383" s="46">
        <v>2</v>
      </c>
      <c r="G383" s="48">
        <v>321000</v>
      </c>
      <c r="H383" s="88">
        <f>+F383*G383</f>
        <v>642000</v>
      </c>
    </row>
    <row r="384" spans="2:8" ht="17.25" thickBot="1" x14ac:dyDescent="0.35">
      <c r="B384" s="261"/>
      <c r="C384" s="110" t="s">
        <v>586</v>
      </c>
      <c r="D384" s="179" t="s">
        <v>584</v>
      </c>
      <c r="E384" s="180" t="s">
        <v>177</v>
      </c>
      <c r="F384" s="82">
        <v>1</v>
      </c>
      <c r="G384" s="229">
        <v>354810</v>
      </c>
      <c r="H384" s="233">
        <f>+F384*G384</f>
        <v>354810</v>
      </c>
    </row>
    <row r="385" spans="2:8" ht="17.25" thickBot="1" x14ac:dyDescent="0.35">
      <c r="B385" s="23"/>
      <c r="C385" s="30"/>
      <c r="D385" s="273" t="s">
        <v>144</v>
      </c>
      <c r="E385" s="274"/>
      <c r="F385" s="274"/>
      <c r="G385" s="275"/>
      <c r="H385" s="234">
        <f>SUM(H176:H384)</f>
        <v>145864601.88</v>
      </c>
    </row>
    <row r="386" spans="2:8" ht="17.25" thickBot="1" x14ac:dyDescent="0.35">
      <c r="B386" s="30"/>
      <c r="C386" s="30"/>
      <c r="D386" s="32"/>
      <c r="E386" s="32"/>
      <c r="F386" s="32"/>
      <c r="G386" s="32"/>
      <c r="H386" s="33"/>
    </row>
    <row r="387" spans="2:8" x14ac:dyDescent="0.3">
      <c r="B387" s="276" t="s">
        <v>360</v>
      </c>
      <c r="C387" s="59" t="s">
        <v>361</v>
      </c>
      <c r="D387" s="58" t="s">
        <v>246</v>
      </c>
      <c r="E387" s="95"/>
      <c r="F387" s="92"/>
      <c r="G387" s="92"/>
      <c r="H387" s="87"/>
    </row>
    <row r="388" spans="2:8" x14ac:dyDescent="0.3">
      <c r="B388" s="277"/>
      <c r="C388" s="29" t="s">
        <v>126</v>
      </c>
      <c r="D388" s="84" t="s">
        <v>25</v>
      </c>
      <c r="E388" s="262" t="s">
        <v>372</v>
      </c>
      <c r="F388" s="263"/>
      <c r="G388" s="263"/>
      <c r="H388" s="264"/>
    </row>
    <row r="389" spans="2:8" x14ac:dyDescent="0.3">
      <c r="B389" s="277"/>
      <c r="C389" s="29" t="s">
        <v>127</v>
      </c>
      <c r="D389" s="84" t="s">
        <v>26</v>
      </c>
      <c r="E389" s="262" t="s">
        <v>372</v>
      </c>
      <c r="F389" s="263"/>
      <c r="G389" s="263"/>
      <c r="H389" s="264"/>
    </row>
    <row r="390" spans="2:8" x14ac:dyDescent="0.3">
      <c r="B390" s="277"/>
      <c r="C390" s="64" t="s">
        <v>135</v>
      </c>
      <c r="D390" s="93"/>
      <c r="E390" s="79"/>
      <c r="F390" s="60"/>
      <c r="G390" s="56"/>
      <c r="H390" s="80"/>
    </row>
    <row r="391" spans="2:8" x14ac:dyDescent="0.3">
      <c r="B391" s="277"/>
      <c r="C391" s="29" t="s">
        <v>141</v>
      </c>
      <c r="D391" s="84" t="s">
        <v>168</v>
      </c>
      <c r="E391" s="78" t="s">
        <v>177</v>
      </c>
      <c r="F391" s="46">
        <v>1</v>
      </c>
      <c r="G391" s="38">
        <f>+(40)*39600</f>
        <v>1584000</v>
      </c>
      <c r="H391" s="52">
        <f t="shared" ref="H391:H392" si="45">+F391*G391</f>
        <v>1584000</v>
      </c>
    </row>
    <row r="392" spans="2:8" ht="17.25" thickBot="1" x14ac:dyDescent="0.35">
      <c r="B392" s="278"/>
      <c r="C392" s="173" t="s">
        <v>142</v>
      </c>
      <c r="D392" s="85" t="s">
        <v>169</v>
      </c>
      <c r="E392" s="81" t="s">
        <v>177</v>
      </c>
      <c r="F392" s="82">
        <v>1</v>
      </c>
      <c r="G392" s="53">
        <f>+(25)*39600</f>
        <v>990000</v>
      </c>
      <c r="H392" s="83">
        <f t="shared" si="45"/>
        <v>990000</v>
      </c>
    </row>
    <row r="393" spans="2:8" ht="17.25" thickBot="1" x14ac:dyDescent="0.35">
      <c r="B393" s="34"/>
      <c r="C393" s="30"/>
      <c r="D393" s="239" t="s">
        <v>27</v>
      </c>
      <c r="E393" s="240"/>
      <c r="F393" s="240"/>
      <c r="G393" s="241"/>
      <c r="H393" s="94">
        <f>SUM(H387:H392)</f>
        <v>2574000</v>
      </c>
    </row>
    <row r="394" spans="2:8" ht="17.25" thickBot="1" x14ac:dyDescent="0.35">
      <c r="B394" s="34"/>
      <c r="C394" s="30"/>
      <c r="D394" s="32"/>
      <c r="E394" s="32"/>
      <c r="F394" s="32"/>
      <c r="G394" s="32"/>
      <c r="H394" s="33"/>
    </row>
    <row r="395" spans="2:8" x14ac:dyDescent="0.3">
      <c r="B395" s="34"/>
      <c r="C395" s="30"/>
      <c r="D395" s="279" t="s">
        <v>17</v>
      </c>
      <c r="E395" s="280"/>
      <c r="F395" s="281"/>
      <c r="G395" s="35"/>
      <c r="H395" s="36" t="e">
        <f>+H393+H385+H173+H116+H31</f>
        <v>#REF!</v>
      </c>
    </row>
    <row r="396" spans="2:8" x14ac:dyDescent="0.3">
      <c r="B396" s="34"/>
      <c r="C396" s="30"/>
      <c r="D396" s="282" t="s">
        <v>29</v>
      </c>
      <c r="E396" s="283"/>
      <c r="F396" s="37">
        <v>0.1</v>
      </c>
      <c r="G396" s="38"/>
      <c r="H396" s="39" t="e">
        <f>+H395*F396</f>
        <v>#REF!</v>
      </c>
    </row>
    <row r="397" spans="2:8" x14ac:dyDescent="0.3">
      <c r="B397" s="34"/>
      <c r="C397" s="30"/>
      <c r="D397" s="282" t="s">
        <v>18</v>
      </c>
      <c r="E397" s="283"/>
      <c r="F397" s="37">
        <v>0.15</v>
      </c>
      <c r="G397" s="38"/>
      <c r="H397" s="39" t="e">
        <f>+H395*F397</f>
        <v>#REF!</v>
      </c>
    </row>
    <row r="398" spans="2:8" x14ac:dyDescent="0.3">
      <c r="B398" s="34"/>
      <c r="C398" s="30"/>
      <c r="D398" s="284" t="s">
        <v>19</v>
      </c>
      <c r="E398" s="285"/>
      <c r="F398" s="286"/>
      <c r="G398" s="40"/>
      <c r="H398" s="39" t="e">
        <f>SUM(H395:H397)</f>
        <v>#REF!</v>
      </c>
    </row>
    <row r="399" spans="2:8" ht="17.25" thickBot="1" x14ac:dyDescent="0.35">
      <c r="B399" s="34"/>
      <c r="C399" s="30"/>
      <c r="D399" s="287" t="s">
        <v>20</v>
      </c>
      <c r="E399" s="288"/>
      <c r="F399" s="41">
        <v>0.19</v>
      </c>
      <c r="G399" s="42"/>
      <c r="H399" s="43" t="e">
        <f>+H398*F399</f>
        <v>#REF!</v>
      </c>
    </row>
    <row r="400" spans="2:8" ht="17.25" thickBot="1" x14ac:dyDescent="0.35">
      <c r="B400" s="34"/>
      <c r="C400" s="30"/>
      <c r="D400" s="289" t="s">
        <v>21</v>
      </c>
      <c r="E400" s="290"/>
      <c r="F400" s="291"/>
      <c r="G400" s="44"/>
      <c r="H400" s="25" t="e">
        <f>+H398+H399</f>
        <v>#REF!</v>
      </c>
    </row>
    <row r="401" spans="2:8" x14ac:dyDescent="0.3">
      <c r="B401" s="34"/>
      <c r="C401" s="30"/>
      <c r="D401" s="9"/>
      <c r="G401" s="184"/>
      <c r="H401" s="9"/>
    </row>
    <row r="402" spans="2:8" x14ac:dyDescent="0.3">
      <c r="B402" s="34"/>
      <c r="C402" s="30"/>
      <c r="D402" s="2" t="s">
        <v>153</v>
      </c>
      <c r="G402" s="184"/>
      <c r="H402" s="9"/>
    </row>
    <row r="403" spans="2:8" x14ac:dyDescent="0.3">
      <c r="B403" s="34"/>
      <c r="C403" s="30"/>
      <c r="D403" s="9" t="s">
        <v>154</v>
      </c>
      <c r="G403" s="184"/>
      <c r="H403" s="9"/>
    </row>
    <row r="404" spans="2:8" ht="17.25" thickBot="1" x14ac:dyDescent="0.35">
      <c r="B404" s="34"/>
      <c r="C404" s="30"/>
      <c r="D404" s="32"/>
      <c r="E404" s="32"/>
      <c r="F404" s="32"/>
      <c r="G404" s="32"/>
      <c r="H404" s="33"/>
    </row>
    <row r="405" spans="2:8" ht="17.25" thickBot="1" x14ac:dyDescent="0.35">
      <c r="B405" s="256" t="s">
        <v>371</v>
      </c>
      <c r="C405" s="257"/>
      <c r="D405" s="257"/>
      <c r="E405" s="257"/>
      <c r="F405" s="257"/>
      <c r="G405" s="257"/>
      <c r="H405" s="258"/>
    </row>
    <row r="406" spans="2:8" x14ac:dyDescent="0.3">
      <c r="B406" s="251"/>
      <c r="C406" s="61" t="s">
        <v>346</v>
      </c>
      <c r="D406" s="62" t="s">
        <v>608</v>
      </c>
      <c r="E406" s="100"/>
      <c r="F406" s="60"/>
      <c r="G406" s="56"/>
      <c r="H406" s="80"/>
    </row>
    <row r="407" spans="2:8" x14ac:dyDescent="0.3">
      <c r="B407" s="251"/>
      <c r="C407" s="69" t="s">
        <v>138</v>
      </c>
      <c r="D407" s="65" t="s">
        <v>589</v>
      </c>
      <c r="E407" s="97"/>
      <c r="F407" s="67"/>
      <c r="G407" s="68"/>
      <c r="H407" s="89"/>
    </row>
    <row r="408" spans="2:8" x14ac:dyDescent="0.3">
      <c r="B408" s="251"/>
      <c r="C408" s="91" t="s">
        <v>362</v>
      </c>
      <c r="D408" s="27" t="s">
        <v>156</v>
      </c>
      <c r="E408" s="78" t="s">
        <v>327</v>
      </c>
      <c r="F408" s="46">
        <f>+(2.9*4.2)*0.2</f>
        <v>2.4359999999999999</v>
      </c>
      <c r="G408" s="48">
        <v>6500</v>
      </c>
      <c r="H408" s="52">
        <f t="shared" ref="H408:H412" si="46">+F408*G408</f>
        <v>15834</v>
      </c>
    </row>
    <row r="409" spans="2:8" x14ac:dyDescent="0.3">
      <c r="B409" s="251"/>
      <c r="C409" s="91" t="s">
        <v>363</v>
      </c>
      <c r="D409" s="27" t="s">
        <v>83</v>
      </c>
      <c r="E409" s="99" t="s">
        <v>327</v>
      </c>
      <c r="F409" s="46">
        <f>+(2.9*4.2)*0.1</f>
        <v>1.218</v>
      </c>
      <c r="G409" s="48">
        <v>13500</v>
      </c>
      <c r="H409" s="52">
        <f t="shared" si="46"/>
        <v>16443</v>
      </c>
    </row>
    <row r="410" spans="2:8" x14ac:dyDescent="0.3">
      <c r="B410" s="251"/>
      <c r="C410" s="91" t="s">
        <v>364</v>
      </c>
      <c r="D410" s="27" t="s">
        <v>377</v>
      </c>
      <c r="E410" s="96" t="s">
        <v>328</v>
      </c>
      <c r="F410" s="46">
        <f>2.9*4.2</f>
        <v>12.18</v>
      </c>
      <c r="G410" s="48">
        <v>1680</v>
      </c>
      <c r="H410" s="52">
        <f t="shared" si="46"/>
        <v>20462.399999999998</v>
      </c>
    </row>
    <row r="411" spans="2:8" x14ac:dyDescent="0.3">
      <c r="B411" s="251"/>
      <c r="C411" s="91" t="s">
        <v>741</v>
      </c>
      <c r="D411" s="27" t="s">
        <v>666</v>
      </c>
      <c r="E411" s="96" t="s">
        <v>328</v>
      </c>
      <c r="F411" s="46">
        <f>2.9*4.2</f>
        <v>12.18</v>
      </c>
      <c r="G411" s="48">
        <v>6540</v>
      </c>
      <c r="H411" s="52">
        <f t="shared" si="46"/>
        <v>79657.2</v>
      </c>
    </row>
    <row r="412" spans="2:8" x14ac:dyDescent="0.3">
      <c r="B412" s="251"/>
      <c r="C412" s="91" t="s">
        <v>742</v>
      </c>
      <c r="D412" s="26" t="s">
        <v>720</v>
      </c>
      <c r="E412" s="78" t="s">
        <v>327</v>
      </c>
      <c r="F412" s="46">
        <v>3.22</v>
      </c>
      <c r="G412" s="48">
        <v>176901</v>
      </c>
      <c r="H412" s="52">
        <f t="shared" si="46"/>
        <v>569621.22000000009</v>
      </c>
    </row>
    <row r="413" spans="2:8" x14ac:dyDescent="0.3">
      <c r="B413" s="251"/>
      <c r="C413" s="69" t="s">
        <v>365</v>
      </c>
      <c r="D413" s="66" t="s">
        <v>86</v>
      </c>
      <c r="E413" s="97"/>
      <c r="F413" s="67"/>
      <c r="G413" s="68"/>
      <c r="H413" s="89"/>
    </row>
    <row r="414" spans="2:8" x14ac:dyDescent="0.3">
      <c r="B414" s="251"/>
      <c r="C414" s="91" t="s">
        <v>686</v>
      </c>
      <c r="D414" s="26" t="s">
        <v>674</v>
      </c>
      <c r="E414" s="78" t="s">
        <v>329</v>
      </c>
      <c r="F414" s="46">
        <v>18.170000000000002</v>
      </c>
      <c r="G414" s="38">
        <f>1498.3+500</f>
        <v>1998.3</v>
      </c>
      <c r="H414" s="52">
        <f t="shared" ref="H414:H415" si="47">+F414*G414</f>
        <v>36309.111000000004</v>
      </c>
    </row>
    <row r="415" spans="2:8" x14ac:dyDescent="0.3">
      <c r="B415" s="251"/>
      <c r="C415" s="91" t="s">
        <v>704</v>
      </c>
      <c r="D415" s="26" t="s">
        <v>668</v>
      </c>
      <c r="E415" s="78" t="s">
        <v>329</v>
      </c>
      <c r="F415" s="46">
        <f>13.68+32.53</f>
        <v>46.21</v>
      </c>
      <c r="G415" s="38">
        <f>1715+500</f>
        <v>2215</v>
      </c>
      <c r="H415" s="52">
        <f t="shared" si="47"/>
        <v>102355.15000000001</v>
      </c>
    </row>
    <row r="416" spans="2:8" x14ac:dyDescent="0.3">
      <c r="B416" s="251"/>
      <c r="C416" s="91" t="s">
        <v>590</v>
      </c>
      <c r="D416" s="28" t="s">
        <v>183</v>
      </c>
      <c r="E416" s="78" t="s">
        <v>329</v>
      </c>
      <c r="F416" s="46">
        <v>12</v>
      </c>
      <c r="G416" s="38">
        <v>1200</v>
      </c>
      <c r="H416" s="88">
        <f>+F416*G416</f>
        <v>14400</v>
      </c>
    </row>
    <row r="417" spans="2:8" x14ac:dyDescent="0.3">
      <c r="B417" s="251"/>
      <c r="C417" s="69" t="s">
        <v>366</v>
      </c>
      <c r="D417" s="66" t="s">
        <v>180</v>
      </c>
      <c r="E417" s="97"/>
      <c r="F417" s="67"/>
      <c r="G417" s="68"/>
      <c r="H417" s="89"/>
    </row>
    <row r="418" spans="2:8" x14ac:dyDescent="0.3">
      <c r="B418" s="251"/>
      <c r="C418" s="91" t="s">
        <v>591</v>
      </c>
      <c r="D418" s="28" t="s">
        <v>184</v>
      </c>
      <c r="E418" s="96" t="s">
        <v>329</v>
      </c>
      <c r="F418" s="46">
        <v>75</v>
      </c>
      <c r="G418" s="38">
        <v>3896</v>
      </c>
      <c r="H418" s="88">
        <f>+F418*G418</f>
        <v>292200</v>
      </c>
    </row>
    <row r="419" spans="2:8" x14ac:dyDescent="0.3">
      <c r="B419" s="251"/>
      <c r="C419" s="91" t="s">
        <v>592</v>
      </c>
      <c r="D419" s="27" t="s">
        <v>39</v>
      </c>
      <c r="E419" s="96" t="s">
        <v>329</v>
      </c>
      <c r="F419" s="46">
        <v>28.63</v>
      </c>
      <c r="G419" s="38">
        <v>2560</v>
      </c>
      <c r="H419" s="88">
        <f>+F419*G419</f>
        <v>73292.800000000003</v>
      </c>
    </row>
    <row r="420" spans="2:8" x14ac:dyDescent="0.3">
      <c r="B420" s="251"/>
      <c r="C420" s="69" t="s">
        <v>367</v>
      </c>
      <c r="D420" s="66" t="s">
        <v>31</v>
      </c>
      <c r="E420" s="97"/>
      <c r="F420" s="67"/>
      <c r="G420" s="68"/>
      <c r="H420" s="89"/>
    </row>
    <row r="421" spans="2:8" x14ac:dyDescent="0.3">
      <c r="B421" s="251"/>
      <c r="C421" s="91" t="s">
        <v>593</v>
      </c>
      <c r="D421" s="26" t="s">
        <v>597</v>
      </c>
      <c r="E421" s="96" t="s">
        <v>328</v>
      </c>
      <c r="F421" s="46">
        <v>10.56</v>
      </c>
      <c r="G421" s="38">
        <v>7500</v>
      </c>
      <c r="H421" s="52">
        <f>+F421*G421</f>
        <v>79200</v>
      </c>
    </row>
    <row r="422" spans="2:8" x14ac:dyDescent="0.3">
      <c r="B422" s="251"/>
      <c r="C422" s="91" t="s">
        <v>594</v>
      </c>
      <c r="D422" s="26" t="s">
        <v>609</v>
      </c>
      <c r="E422" s="96" t="s">
        <v>328</v>
      </c>
      <c r="F422" s="46">
        <v>10.56</v>
      </c>
      <c r="G422" s="48" t="e">
        <f>+#REF!</f>
        <v>#REF!</v>
      </c>
      <c r="H422" s="52" t="e">
        <f>+F422*G422</f>
        <v>#REF!</v>
      </c>
    </row>
    <row r="423" spans="2:8" x14ac:dyDescent="0.3">
      <c r="B423" s="251"/>
      <c r="C423" s="91" t="s">
        <v>595</v>
      </c>
      <c r="D423" s="26" t="s">
        <v>381</v>
      </c>
      <c r="E423" s="96" t="s">
        <v>328</v>
      </c>
      <c r="F423" s="46">
        <v>10.56</v>
      </c>
      <c r="G423" s="38">
        <v>3412</v>
      </c>
      <c r="H423" s="52">
        <f>+F423*G423</f>
        <v>36030.720000000001</v>
      </c>
    </row>
    <row r="424" spans="2:8" x14ac:dyDescent="0.3">
      <c r="B424" s="251"/>
      <c r="C424" s="91" t="s">
        <v>596</v>
      </c>
      <c r="D424" s="27" t="s">
        <v>387</v>
      </c>
      <c r="E424" s="96" t="s">
        <v>328</v>
      </c>
      <c r="F424" s="46">
        <v>10.56</v>
      </c>
      <c r="G424" s="38">
        <v>14514</v>
      </c>
      <c r="H424" s="52">
        <f>+F424*G424</f>
        <v>153267.84</v>
      </c>
    </row>
    <row r="425" spans="2:8" x14ac:dyDescent="0.3">
      <c r="B425" s="251"/>
      <c r="C425" s="231" t="s">
        <v>610</v>
      </c>
      <c r="D425" s="185" t="s">
        <v>139</v>
      </c>
      <c r="E425" s="186"/>
      <c r="F425" s="111"/>
      <c r="G425" s="112"/>
      <c r="H425" s="113"/>
    </row>
    <row r="426" spans="2:8" x14ac:dyDescent="0.3">
      <c r="B426" s="251"/>
      <c r="C426" s="91" t="s">
        <v>611</v>
      </c>
      <c r="D426" s="26" t="s">
        <v>382</v>
      </c>
      <c r="E426" s="96" t="s">
        <v>329</v>
      </c>
      <c r="F426" s="46">
        <v>14.2</v>
      </c>
      <c r="G426" s="38">
        <v>13650</v>
      </c>
      <c r="H426" s="52">
        <f>+F426*G426</f>
        <v>193830</v>
      </c>
    </row>
    <row r="427" spans="2:8" x14ac:dyDescent="0.3">
      <c r="B427" s="251"/>
      <c r="C427" s="91" t="s">
        <v>612</v>
      </c>
      <c r="D427" s="26" t="s">
        <v>181</v>
      </c>
      <c r="E427" s="96" t="s">
        <v>329</v>
      </c>
      <c r="F427" s="46">
        <v>2.9</v>
      </c>
      <c r="G427" s="38">
        <v>9750</v>
      </c>
      <c r="H427" s="52">
        <f>+F427*G427</f>
        <v>28275</v>
      </c>
    </row>
    <row r="428" spans="2:8" x14ac:dyDescent="0.3">
      <c r="B428" s="251"/>
      <c r="C428" s="91" t="s">
        <v>613</v>
      </c>
      <c r="D428" s="26" t="s">
        <v>182</v>
      </c>
      <c r="E428" s="96" t="s">
        <v>329</v>
      </c>
      <c r="F428" s="46">
        <v>2.6</v>
      </c>
      <c r="G428" s="38">
        <v>11977</v>
      </c>
      <c r="H428" s="52">
        <f>+F428*G428</f>
        <v>31140.2</v>
      </c>
    </row>
    <row r="429" spans="2:8" x14ac:dyDescent="0.3">
      <c r="B429" s="251"/>
      <c r="C429" s="231" t="s">
        <v>368</v>
      </c>
      <c r="D429" s="185" t="s">
        <v>99</v>
      </c>
      <c r="E429" s="186"/>
      <c r="F429" s="111"/>
      <c r="G429" s="112"/>
      <c r="H429" s="113"/>
    </row>
    <row r="430" spans="2:8" x14ac:dyDescent="0.3">
      <c r="B430" s="251"/>
      <c r="C430" s="91" t="s">
        <v>598</v>
      </c>
      <c r="D430" s="26" t="s">
        <v>383</v>
      </c>
      <c r="E430" s="96" t="s">
        <v>328</v>
      </c>
      <c r="F430" s="46">
        <v>39.590000000000003</v>
      </c>
      <c r="G430" s="38">
        <v>2680</v>
      </c>
      <c r="H430" s="52">
        <f>+F430*G430</f>
        <v>106101.20000000001</v>
      </c>
    </row>
    <row r="431" spans="2:8" x14ac:dyDescent="0.3">
      <c r="B431" s="251"/>
      <c r="C431" s="91" t="s">
        <v>599</v>
      </c>
      <c r="D431" s="27" t="s">
        <v>588</v>
      </c>
      <c r="E431" s="96" t="s">
        <v>328</v>
      </c>
      <c r="F431" s="46">
        <f>+F430</f>
        <v>39.590000000000003</v>
      </c>
      <c r="G431" s="38">
        <v>24514</v>
      </c>
      <c r="H431" s="52">
        <f>+F431*G431</f>
        <v>970509.26000000013</v>
      </c>
    </row>
    <row r="432" spans="2:8" x14ac:dyDescent="0.3">
      <c r="B432" s="251"/>
      <c r="C432" s="231" t="s">
        <v>369</v>
      </c>
      <c r="D432" s="185" t="s">
        <v>102</v>
      </c>
      <c r="E432" s="186"/>
      <c r="F432" s="111"/>
      <c r="G432" s="112"/>
      <c r="H432" s="113"/>
    </row>
    <row r="433" spans="2:8" x14ac:dyDescent="0.3">
      <c r="B433" s="251"/>
      <c r="C433" s="91" t="s">
        <v>600</v>
      </c>
      <c r="D433" s="26" t="s">
        <v>398</v>
      </c>
      <c r="E433" s="96" t="s">
        <v>328</v>
      </c>
      <c r="F433" s="46">
        <f>+F430</f>
        <v>39.590000000000003</v>
      </c>
      <c r="G433" s="38">
        <v>7500</v>
      </c>
      <c r="H433" s="52">
        <f>+F433*G433</f>
        <v>296925</v>
      </c>
    </row>
    <row r="434" spans="2:8" x14ac:dyDescent="0.3">
      <c r="B434" s="251"/>
      <c r="C434" s="91" t="s">
        <v>601</v>
      </c>
      <c r="D434" s="26" t="s">
        <v>616</v>
      </c>
      <c r="E434" s="78" t="s">
        <v>328</v>
      </c>
      <c r="F434" s="46">
        <f>+F430</f>
        <v>39.590000000000003</v>
      </c>
      <c r="G434" s="38">
        <v>14154</v>
      </c>
      <c r="H434" s="52">
        <f>+F434*G434</f>
        <v>560356.8600000001</v>
      </c>
    </row>
    <row r="435" spans="2:8" x14ac:dyDescent="0.3">
      <c r="B435" s="251"/>
      <c r="C435" s="91" t="s">
        <v>614</v>
      </c>
      <c r="D435" s="26" t="s">
        <v>385</v>
      </c>
      <c r="E435" s="96" t="s">
        <v>328</v>
      </c>
      <c r="F435" s="46">
        <f>+F430</f>
        <v>39.590000000000003</v>
      </c>
      <c r="G435" s="48">
        <v>11862</v>
      </c>
      <c r="H435" s="52">
        <f>+F435*G435</f>
        <v>469616.58</v>
      </c>
    </row>
    <row r="436" spans="2:8" x14ac:dyDescent="0.3">
      <c r="B436" s="251"/>
      <c r="C436" s="231" t="s">
        <v>602</v>
      </c>
      <c r="D436" s="185" t="s">
        <v>669</v>
      </c>
      <c r="E436" s="186"/>
      <c r="F436" s="111"/>
      <c r="G436" s="112"/>
      <c r="H436" s="113"/>
    </row>
    <row r="437" spans="2:8" x14ac:dyDescent="0.3">
      <c r="B437" s="251"/>
      <c r="C437" s="91" t="s">
        <v>603</v>
      </c>
      <c r="D437" s="26" t="s">
        <v>607</v>
      </c>
      <c r="E437" s="96" t="s">
        <v>328</v>
      </c>
      <c r="F437" s="46">
        <f>(0.7*1.8)*2</f>
        <v>2.52</v>
      </c>
      <c r="G437" s="38">
        <v>75000</v>
      </c>
      <c r="H437" s="52">
        <f>+F437*G437</f>
        <v>189000</v>
      </c>
    </row>
    <row r="438" spans="2:8" x14ac:dyDescent="0.3">
      <c r="B438" s="251"/>
      <c r="C438" s="91" t="s">
        <v>671</v>
      </c>
      <c r="D438" s="26" t="s">
        <v>670</v>
      </c>
      <c r="E438" s="78" t="s">
        <v>163</v>
      </c>
      <c r="F438" s="46">
        <v>1</v>
      </c>
      <c r="G438" s="38">
        <v>320510</v>
      </c>
      <c r="H438" s="52">
        <f>+F438*G438</f>
        <v>320510</v>
      </c>
    </row>
    <row r="439" spans="2:8" x14ac:dyDescent="0.3">
      <c r="B439" s="251"/>
      <c r="C439" s="231" t="s">
        <v>604</v>
      </c>
      <c r="D439" s="187" t="s">
        <v>136</v>
      </c>
      <c r="E439" s="188"/>
      <c r="F439" s="189"/>
      <c r="G439" s="190"/>
      <c r="H439" s="191"/>
    </row>
    <row r="440" spans="2:8" x14ac:dyDescent="0.3">
      <c r="B440" s="251"/>
      <c r="C440" s="91" t="s">
        <v>605</v>
      </c>
      <c r="D440" s="27" t="s">
        <v>330</v>
      </c>
      <c r="E440" s="96" t="s">
        <v>328</v>
      </c>
      <c r="F440" s="46">
        <f>+F421</f>
        <v>10.56</v>
      </c>
      <c r="G440" s="38">
        <v>8625</v>
      </c>
      <c r="H440" s="52">
        <f>+F440*G440</f>
        <v>91080</v>
      </c>
    </row>
    <row r="441" spans="2:8" x14ac:dyDescent="0.3">
      <c r="B441" s="251"/>
      <c r="C441" s="91" t="s">
        <v>615</v>
      </c>
      <c r="D441" s="27" t="s">
        <v>350</v>
      </c>
      <c r="E441" s="96" t="s">
        <v>328</v>
      </c>
      <c r="F441" s="46">
        <f>+F433</f>
        <v>39.590000000000003</v>
      </c>
      <c r="G441" s="38">
        <v>8293</v>
      </c>
      <c r="H441" s="52">
        <f>+F441*G441</f>
        <v>328319.87000000005</v>
      </c>
    </row>
    <row r="442" spans="2:8" ht="17.25" thickBot="1" x14ac:dyDescent="0.35">
      <c r="B442" s="295"/>
      <c r="C442" s="110" t="s">
        <v>606</v>
      </c>
      <c r="D442" s="128" t="s">
        <v>442</v>
      </c>
      <c r="E442" s="98" t="s">
        <v>328</v>
      </c>
      <c r="F442" s="82">
        <v>12.18</v>
      </c>
      <c r="G442" s="53">
        <v>21800</v>
      </c>
      <c r="H442" s="83">
        <f>+F442*G442</f>
        <v>265524</v>
      </c>
    </row>
    <row r="443" spans="2:8" ht="17.25" thickBot="1" x14ac:dyDescent="0.35">
      <c r="B443" s="232"/>
      <c r="C443" s="30"/>
      <c r="D443" s="296" t="s">
        <v>145</v>
      </c>
      <c r="E443" s="297"/>
      <c r="F443" s="297"/>
      <c r="G443" s="298"/>
      <c r="H443" s="94" t="e">
        <f>SUM(H406:H442)</f>
        <v>#REF!</v>
      </c>
    </row>
    <row r="444" spans="2:8" ht="17.25" thickBot="1" x14ac:dyDescent="0.35">
      <c r="B444" s="31"/>
      <c r="C444" s="30"/>
      <c r="D444" s="32"/>
      <c r="E444" s="32"/>
      <c r="F444" s="32"/>
      <c r="G444" s="32"/>
      <c r="H444" s="33"/>
    </row>
    <row r="445" spans="2:8" x14ac:dyDescent="0.3">
      <c r="B445" s="31"/>
      <c r="C445" s="30"/>
      <c r="D445" s="279" t="s">
        <v>17</v>
      </c>
      <c r="E445" s="280"/>
      <c r="F445" s="281"/>
      <c r="G445" s="35"/>
      <c r="H445" s="36" t="e">
        <f>+H443</f>
        <v>#REF!</v>
      </c>
    </row>
    <row r="446" spans="2:8" x14ac:dyDescent="0.3">
      <c r="B446" s="31"/>
      <c r="C446" s="30"/>
      <c r="D446" s="282" t="s">
        <v>29</v>
      </c>
      <c r="E446" s="283"/>
      <c r="F446" s="37">
        <v>0.1</v>
      </c>
      <c r="G446" s="38"/>
      <c r="H446" s="39" t="e">
        <f>+H445*F446</f>
        <v>#REF!</v>
      </c>
    </row>
    <row r="447" spans="2:8" x14ac:dyDescent="0.3">
      <c r="B447" s="31"/>
      <c r="C447" s="30"/>
      <c r="D447" s="282" t="s">
        <v>18</v>
      </c>
      <c r="E447" s="283"/>
      <c r="F447" s="37">
        <v>0.15</v>
      </c>
      <c r="G447" s="38"/>
      <c r="H447" s="39" t="e">
        <f>+H445*F447</f>
        <v>#REF!</v>
      </c>
    </row>
    <row r="448" spans="2:8" x14ac:dyDescent="0.3">
      <c r="B448" s="31"/>
      <c r="C448" s="30"/>
      <c r="D448" s="284" t="s">
        <v>19</v>
      </c>
      <c r="E448" s="285"/>
      <c r="F448" s="286"/>
      <c r="G448" s="40"/>
      <c r="H448" s="39" t="e">
        <f>SUM(H445:H447)</f>
        <v>#REF!</v>
      </c>
    </row>
    <row r="449" spans="2:8" ht="17.25" thickBot="1" x14ac:dyDescent="0.35">
      <c r="B449" s="31"/>
      <c r="C449" s="30"/>
      <c r="D449" s="287" t="s">
        <v>20</v>
      </c>
      <c r="E449" s="288"/>
      <c r="F449" s="41">
        <v>0.19</v>
      </c>
      <c r="G449" s="42"/>
      <c r="H449" s="43" t="e">
        <f>+H448*F449</f>
        <v>#REF!</v>
      </c>
    </row>
    <row r="450" spans="2:8" ht="17.25" thickBot="1" x14ac:dyDescent="0.35">
      <c r="B450" s="31"/>
      <c r="C450" s="30"/>
      <c r="D450" s="289" t="s">
        <v>21</v>
      </c>
      <c r="E450" s="290"/>
      <c r="F450" s="291"/>
      <c r="G450" s="44"/>
      <c r="H450" s="25" t="e">
        <f>+H448+H449</f>
        <v>#REF!</v>
      </c>
    </row>
    <row r="451" spans="2:8" x14ac:dyDescent="0.3">
      <c r="B451" s="31"/>
      <c r="C451" s="30"/>
      <c r="D451" s="9"/>
      <c r="G451" s="184"/>
      <c r="H451" s="9"/>
    </row>
    <row r="452" spans="2:8" x14ac:dyDescent="0.3">
      <c r="B452" s="31"/>
      <c r="C452" s="30"/>
      <c r="D452" s="2" t="s">
        <v>153</v>
      </c>
      <c r="G452" s="184"/>
      <c r="H452" s="9"/>
    </row>
    <row r="453" spans="2:8" x14ac:dyDescent="0.3">
      <c r="B453" s="23"/>
      <c r="C453" s="30"/>
      <c r="D453" s="9" t="s">
        <v>154</v>
      </c>
      <c r="G453" s="184"/>
      <c r="H453" s="9"/>
    </row>
    <row r="454" spans="2:8" x14ac:dyDescent="0.3">
      <c r="B454" s="34"/>
      <c r="C454" s="8"/>
      <c r="D454" s="9"/>
      <c r="G454" s="184"/>
      <c r="H454" s="9"/>
    </row>
    <row r="455" spans="2:8" ht="17.25" thickBot="1" x14ac:dyDescent="0.35">
      <c r="B455" s="9"/>
      <c r="C455" s="8"/>
      <c r="D455" s="9"/>
      <c r="H455" s="9"/>
    </row>
    <row r="456" spans="2:8" x14ac:dyDescent="0.3">
      <c r="B456" s="267" t="s">
        <v>334</v>
      </c>
      <c r="C456" s="58" t="s">
        <v>335</v>
      </c>
      <c r="D456" s="202" t="s">
        <v>247</v>
      </c>
      <c r="E456" s="95"/>
      <c r="F456" s="92"/>
      <c r="G456" s="92"/>
      <c r="H456" s="87"/>
    </row>
    <row r="457" spans="2:8" x14ac:dyDescent="0.3">
      <c r="B457" s="268"/>
      <c r="C457" s="237" t="s">
        <v>337</v>
      </c>
      <c r="D457" s="167" t="s">
        <v>548</v>
      </c>
      <c r="E457" s="78" t="s">
        <v>163</v>
      </c>
      <c r="F457" s="136">
        <v>1</v>
      </c>
      <c r="G457" s="137">
        <v>6510560</v>
      </c>
      <c r="H457" s="138">
        <f>G457*F457</f>
        <v>6510560</v>
      </c>
    </row>
    <row r="458" spans="2:8" x14ac:dyDescent="0.3">
      <c r="B458" s="268"/>
      <c r="C458" s="237" t="s">
        <v>745</v>
      </c>
      <c r="D458" s="167" t="s">
        <v>577</v>
      </c>
      <c r="E458" s="78" t="s">
        <v>163</v>
      </c>
      <c r="F458" s="139">
        <v>1</v>
      </c>
      <c r="G458" s="140">
        <v>4000000</v>
      </c>
      <c r="H458" s="138">
        <f t="shared" ref="H458" si="48">G458*F458</f>
        <v>4000000</v>
      </c>
    </row>
    <row r="459" spans="2:8" x14ac:dyDescent="0.3">
      <c r="B459" s="268"/>
      <c r="C459" s="205" t="s">
        <v>336</v>
      </c>
      <c r="D459" s="203" t="s">
        <v>171</v>
      </c>
      <c r="E459" s="79"/>
      <c r="F459" s="60"/>
      <c r="G459" s="56"/>
      <c r="H459" s="80"/>
    </row>
    <row r="460" spans="2:8" x14ac:dyDescent="0.3">
      <c r="B460" s="268"/>
      <c r="C460" s="206" t="s">
        <v>338</v>
      </c>
      <c r="D460" s="154" t="s">
        <v>173</v>
      </c>
      <c r="E460" s="262" t="s">
        <v>744</v>
      </c>
      <c r="F460" s="263"/>
      <c r="G460" s="263"/>
      <c r="H460" s="264"/>
    </row>
    <row r="461" spans="2:8" x14ac:dyDescent="0.3">
      <c r="B461" s="268"/>
      <c r="C461" s="206" t="s">
        <v>339</v>
      </c>
      <c r="D461" s="154" t="s">
        <v>174</v>
      </c>
      <c r="E461" s="302" t="s">
        <v>743</v>
      </c>
      <c r="F461" s="303"/>
      <c r="G461" s="303"/>
      <c r="H461" s="304"/>
    </row>
    <row r="462" spans="2:8" x14ac:dyDescent="0.3">
      <c r="B462" s="268"/>
      <c r="C462" s="206" t="s">
        <v>340</v>
      </c>
      <c r="D462" s="154" t="s">
        <v>170</v>
      </c>
      <c r="E462" s="302" t="s">
        <v>743</v>
      </c>
      <c r="F462" s="303"/>
      <c r="G462" s="303"/>
      <c r="H462" s="304"/>
    </row>
    <row r="463" spans="2:8" x14ac:dyDescent="0.3">
      <c r="B463" s="268"/>
      <c r="C463" s="206" t="s">
        <v>343</v>
      </c>
      <c r="D463" s="154" t="s">
        <v>175</v>
      </c>
      <c r="E463" s="302" t="s">
        <v>743</v>
      </c>
      <c r="F463" s="303"/>
      <c r="G463" s="303"/>
      <c r="H463" s="304"/>
    </row>
    <row r="464" spans="2:8" x14ac:dyDescent="0.3">
      <c r="B464" s="268"/>
      <c r="C464" s="206" t="s">
        <v>344</v>
      </c>
      <c r="D464" s="154" t="s">
        <v>176</v>
      </c>
      <c r="E464" s="302" t="s">
        <v>743</v>
      </c>
      <c r="F464" s="303"/>
      <c r="G464" s="303"/>
      <c r="H464" s="304"/>
    </row>
    <row r="465" spans="2:8" x14ac:dyDescent="0.3">
      <c r="B465" s="268"/>
      <c r="C465" s="206" t="s">
        <v>341</v>
      </c>
      <c r="D465" s="154" t="s">
        <v>172</v>
      </c>
      <c r="E465" s="302" t="s">
        <v>743</v>
      </c>
      <c r="F465" s="303"/>
      <c r="G465" s="303"/>
      <c r="H465" s="304"/>
    </row>
    <row r="466" spans="2:8" ht="17.25" thickBot="1" x14ac:dyDescent="0.35">
      <c r="B466" s="269"/>
      <c r="C466" s="207" t="s">
        <v>342</v>
      </c>
      <c r="D466" s="204" t="s">
        <v>345</v>
      </c>
      <c r="E466" s="299" t="s">
        <v>633</v>
      </c>
      <c r="F466" s="300"/>
      <c r="G466" s="300"/>
      <c r="H466" s="301"/>
    </row>
    <row r="467" spans="2:8" ht="17.25" thickBot="1" x14ac:dyDescent="0.35">
      <c r="C467" s="30"/>
      <c r="D467" s="239" t="s">
        <v>347</v>
      </c>
      <c r="E467" s="240"/>
      <c r="F467" s="240"/>
      <c r="G467" s="241"/>
      <c r="H467" s="94">
        <f>SUM(H456:H466)</f>
        <v>10510560</v>
      </c>
    </row>
    <row r="468" spans="2:8" ht="17.25" thickBot="1" x14ac:dyDescent="0.35">
      <c r="C468" s="34"/>
      <c r="D468" s="287" t="s">
        <v>20</v>
      </c>
      <c r="E468" s="288"/>
      <c r="F468" s="41">
        <v>0.19</v>
      </c>
      <c r="G468" s="42"/>
      <c r="H468" s="43">
        <f>+H467*F468</f>
        <v>1997006.4</v>
      </c>
    </row>
    <row r="469" spans="2:8" ht="17.25" thickBot="1" x14ac:dyDescent="0.35">
      <c r="C469" s="34"/>
      <c r="D469" s="289" t="s">
        <v>21</v>
      </c>
      <c r="E469" s="290"/>
      <c r="F469" s="291"/>
      <c r="G469" s="44"/>
      <c r="H469" s="25">
        <f>+H467+H468</f>
        <v>12507566.4</v>
      </c>
    </row>
    <row r="471" spans="2:8" ht="17.25" thickBot="1" x14ac:dyDescent="0.35"/>
    <row r="472" spans="2:8" ht="17.25" thickBot="1" x14ac:dyDescent="0.35">
      <c r="D472" s="107" t="s">
        <v>21</v>
      </c>
      <c r="E472" s="292" t="s">
        <v>354</v>
      </c>
      <c r="F472" s="293"/>
      <c r="G472" s="294"/>
      <c r="H472" s="25" t="e">
        <f>+H450+H400</f>
        <v>#REF!</v>
      </c>
    </row>
    <row r="473" spans="2:8" ht="17.25" thickBot="1" x14ac:dyDescent="0.35">
      <c r="D473" s="107" t="s">
        <v>21</v>
      </c>
      <c r="E473" s="292" t="s">
        <v>247</v>
      </c>
      <c r="F473" s="293"/>
      <c r="G473" s="294"/>
      <c r="H473" s="25">
        <f>+H469</f>
        <v>12507566.4</v>
      </c>
    </row>
    <row r="474" spans="2:8" ht="17.25" thickBot="1" x14ac:dyDescent="0.35">
      <c r="D474" s="292" t="s">
        <v>21</v>
      </c>
      <c r="E474" s="293"/>
      <c r="F474" s="293"/>
      <c r="G474" s="294"/>
      <c r="H474" s="108" t="e">
        <f>SUM(H472:H473)</f>
        <v>#REF!</v>
      </c>
    </row>
  </sheetData>
  <mergeCells count="57">
    <mergeCell ref="E462:H462"/>
    <mergeCell ref="E461:H461"/>
    <mergeCell ref="E460:H460"/>
    <mergeCell ref="D468:E468"/>
    <mergeCell ref="D469:F469"/>
    <mergeCell ref="E463:H463"/>
    <mergeCell ref="E472:G472"/>
    <mergeCell ref="E473:G473"/>
    <mergeCell ref="D474:G474"/>
    <mergeCell ref="D467:G467"/>
    <mergeCell ref="B406:B442"/>
    <mergeCell ref="D443:G443"/>
    <mergeCell ref="D445:F445"/>
    <mergeCell ref="D446:E446"/>
    <mergeCell ref="D447:E447"/>
    <mergeCell ref="D448:F448"/>
    <mergeCell ref="D449:E449"/>
    <mergeCell ref="D450:F450"/>
    <mergeCell ref="B456:B466"/>
    <mergeCell ref="E466:H466"/>
    <mergeCell ref="E465:H465"/>
    <mergeCell ref="E464:H464"/>
    <mergeCell ref="B405:H405"/>
    <mergeCell ref="D385:G385"/>
    <mergeCell ref="B387:B392"/>
    <mergeCell ref="E388:H388"/>
    <mergeCell ref="E389:H389"/>
    <mergeCell ref="D393:G393"/>
    <mergeCell ref="D395:F395"/>
    <mergeCell ref="D396:E396"/>
    <mergeCell ref="D397:E397"/>
    <mergeCell ref="D398:F398"/>
    <mergeCell ref="D399:E399"/>
    <mergeCell ref="D400:F400"/>
    <mergeCell ref="B175:B384"/>
    <mergeCell ref="E246:H246"/>
    <mergeCell ref="E247:H247"/>
    <mergeCell ref="E248:H248"/>
    <mergeCell ref="E249:H249"/>
    <mergeCell ref="E340:H340"/>
    <mergeCell ref="E342:H342"/>
    <mergeCell ref="E344:H344"/>
    <mergeCell ref="E345:H345"/>
    <mergeCell ref="E346:H346"/>
    <mergeCell ref="D173:G173"/>
    <mergeCell ref="B2:H3"/>
    <mergeCell ref="E4:H8"/>
    <mergeCell ref="E9:H12"/>
    <mergeCell ref="B15:H15"/>
    <mergeCell ref="B16:B30"/>
    <mergeCell ref="E17:H17"/>
    <mergeCell ref="E18:H18"/>
    <mergeCell ref="D31:G31"/>
    <mergeCell ref="B32:H32"/>
    <mergeCell ref="B33:B115"/>
    <mergeCell ref="D116:G116"/>
    <mergeCell ref="B118:B172"/>
  </mergeCells>
  <phoneticPr fontId="14" type="noConversion"/>
  <pageMargins left="0.25" right="0.25" top="0.75" bottom="0.75" header="0.3" footer="0.3"/>
  <pageSetup paperSize="14" scale="37" fitToHeight="0" orientation="portrait" r:id="rId1"/>
  <rowBreaks count="2" manualBreakCount="2">
    <brk id="141" min="1" max="11" man="1"/>
    <brk id="173" min="1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F6:F19"/>
  <sheetViews>
    <sheetView workbookViewId="0">
      <selection activeCell="F19" sqref="F19"/>
    </sheetView>
  </sheetViews>
  <sheetFormatPr baseColWidth="10" defaultRowHeight="15" x14ac:dyDescent="0.25"/>
  <sheetData>
    <row r="6" spans="6:6" x14ac:dyDescent="0.25">
      <c r="F6">
        <v>8</v>
      </c>
    </row>
    <row r="7" spans="6:6" x14ac:dyDescent="0.25">
      <c r="F7">
        <v>16</v>
      </c>
    </row>
    <row r="8" spans="6:6" x14ac:dyDescent="0.25">
      <c r="F8">
        <f>12*5</f>
        <v>60</v>
      </c>
    </row>
    <row r="9" spans="6:6" x14ac:dyDescent="0.25">
      <c r="F9">
        <v>14</v>
      </c>
    </row>
    <row r="10" spans="6:6" x14ac:dyDescent="0.25">
      <c r="F10">
        <v>40</v>
      </c>
    </row>
    <row r="11" spans="6:6" x14ac:dyDescent="0.25">
      <c r="F11">
        <v>48</v>
      </c>
    </row>
    <row r="12" spans="6:6" x14ac:dyDescent="0.25">
      <c r="F12">
        <v>6</v>
      </c>
    </row>
    <row r="13" spans="6:6" x14ac:dyDescent="0.25">
      <c r="F13">
        <f>12*4</f>
        <v>48</v>
      </c>
    </row>
    <row r="14" spans="6:6" x14ac:dyDescent="0.25">
      <c r="F14">
        <v>16</v>
      </c>
    </row>
    <row r="15" spans="6:6" x14ac:dyDescent="0.25">
      <c r="F15">
        <v>8</v>
      </c>
    </row>
    <row r="16" spans="6:6" x14ac:dyDescent="0.25">
      <c r="F16">
        <v>6</v>
      </c>
    </row>
    <row r="17" spans="6:6" x14ac:dyDescent="0.25">
      <c r="F17">
        <v>16</v>
      </c>
    </row>
    <row r="18" spans="6:6" x14ac:dyDescent="0.25">
      <c r="F18">
        <v>26</v>
      </c>
    </row>
    <row r="19" spans="6:6" x14ac:dyDescent="0.25">
      <c r="F19">
        <f>SUM(F6:F18)</f>
        <v>312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PRESUPUESTO DETALLADO,COMPLETO</vt:lpstr>
      <vt:lpstr>Hoja1</vt:lpstr>
      <vt:lpstr>'PRESUPUESTO DETALLADO,COMPLETO'!_Toc105599887</vt:lpstr>
      <vt:lpstr>'PRESUPUESTO DETALLADO,COMPLETO'!_Toc133327179</vt:lpstr>
      <vt:lpstr>'PRESUPUESTO DETALLADO,COMPLETO'!Área_de_impresión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Sebastián Aedo Maluje</dc:creator>
  <cp:keywords/>
  <dc:description/>
  <cp:lastModifiedBy>Infraestructura</cp:lastModifiedBy>
  <cp:revision/>
  <cp:lastPrinted>2025-12-01T11:45:54Z</cp:lastPrinted>
  <dcterms:created xsi:type="dcterms:W3CDTF">2020-01-29T22:02:48Z</dcterms:created>
  <dcterms:modified xsi:type="dcterms:W3CDTF">2026-03-04T17:18:01Z</dcterms:modified>
  <cp:category/>
  <cp:contentStatus/>
</cp:coreProperties>
</file>